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800" windowWidth="15480" windowHeight="10140" tabRatio="851"/>
  </bookViews>
  <sheets>
    <sheet name="прил 2" sheetId="9" r:id="rId1"/>
    <sheet name="прил 1" sheetId="8" r:id="rId2"/>
    <sheet name="прил 3" sheetId="1" r:id="rId3"/>
    <sheet name="прил 4" sheetId="6" r:id="rId4"/>
    <sheet name="ПП3" sheetId="7" r:id="rId5"/>
    <sheet name="Лист1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'прил 1'!$5:$6</definedName>
    <definedName name="_xlnm.Print_Titles" localSheetId="0">'прил 2'!$5:$6</definedName>
    <definedName name="_xlnm.Print_Titles" localSheetId="2">'прил 3'!$5:$6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4">ПП3!$A$1:$Q$81</definedName>
    <definedName name="_xlnm.Print_Area" localSheetId="1">'прил 1'!$A$1:$P$25</definedName>
    <definedName name="_xlnm.Print_Area" localSheetId="0">'прил 2'!$A$1:$R$187</definedName>
    <definedName name="_xlnm.Print_Area" localSheetId="2">'прил 3'!$A$1:$Q$51</definedName>
    <definedName name="_xlnm.Print_Area" localSheetId="3">'прил 4'!$A$1:$Q$62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Q59" i="9"/>
  <c r="P26" i="6"/>
  <c r="Q79" i="9"/>
  <c r="O177"/>
  <c r="O175"/>
  <c r="N177"/>
  <c r="N175"/>
  <c r="N67" i="7"/>
  <c r="M67"/>
  <c r="N65"/>
  <c r="M65"/>
  <c r="N76"/>
  <c r="M80"/>
  <c r="M61" i="6"/>
  <c r="N115" i="9"/>
  <c r="N59"/>
  <c r="N69" i="7"/>
  <c r="N66"/>
  <c r="N70"/>
  <c r="N68"/>
  <c r="N10" i="1"/>
  <c r="M61" i="7"/>
  <c r="M58"/>
  <c r="M57"/>
  <c r="M13"/>
  <c r="M11"/>
  <c r="N9"/>
  <c r="M9"/>
  <c r="M56" i="6"/>
  <c r="M27"/>
  <c r="M76" i="7" l="1"/>
  <c r="M20" i="6"/>
  <c r="M19"/>
  <c r="M17"/>
  <c r="N16"/>
  <c r="M16"/>
  <c r="M13"/>
  <c r="M12"/>
  <c r="M11"/>
  <c r="M10"/>
  <c r="N9"/>
  <c r="M9"/>
  <c r="M45" i="1"/>
  <c r="M40"/>
  <c r="M22"/>
  <c r="M21"/>
  <c r="M20"/>
  <c r="M19"/>
  <c r="M16"/>
  <c r="M15"/>
  <c r="M10"/>
  <c r="O69" i="9"/>
  <c r="O62"/>
  <c r="O18"/>
  <c r="N80"/>
  <c r="O186"/>
  <c r="P186"/>
  <c r="N186"/>
  <c r="N180"/>
  <c r="N179"/>
  <c r="N178"/>
  <c r="N176"/>
  <c r="N171"/>
  <c r="N168"/>
  <c r="N167"/>
  <c r="N123"/>
  <c r="O80" l="1"/>
  <c r="N121"/>
  <c r="N119"/>
  <c r="N110"/>
  <c r="N73"/>
  <c r="N66"/>
  <c r="N65"/>
  <c r="N72"/>
  <c r="N64"/>
  <c r="N70"/>
  <c r="N63"/>
  <c r="N69"/>
  <c r="N62"/>
  <c r="N54"/>
  <c r="N49"/>
  <c r="N46"/>
  <c r="N31"/>
  <c r="N30"/>
  <c r="N29" l="1"/>
  <c r="N28"/>
  <c r="N25"/>
  <c r="N24"/>
  <c r="N19"/>
  <c r="M28" i="1" l="1"/>
  <c r="M26"/>
  <c r="N37" i="9"/>
  <c r="N35"/>
  <c r="P35" i="7" l="1"/>
  <c r="P36"/>
  <c r="N21" i="9"/>
  <c r="N45" l="1"/>
  <c r="M36" i="1"/>
  <c r="M37" i="7" l="1"/>
  <c r="M12" i="1"/>
  <c r="P147" i="9"/>
  <c r="O147"/>
  <c r="N147"/>
  <c r="Q146"/>
  <c r="Q145"/>
  <c r="Q149"/>
  <c r="K150"/>
  <c r="L150"/>
  <c r="N150"/>
  <c r="Q150"/>
  <c r="Q151"/>
  <c r="Q152"/>
  <c r="Q168" l="1"/>
  <c r="N20"/>
  <c r="P58" i="7"/>
  <c r="B58"/>
  <c r="C58"/>
  <c r="D58"/>
  <c r="E58"/>
  <c r="F58"/>
  <c r="G58"/>
  <c r="H58"/>
  <c r="J58"/>
  <c r="K58"/>
  <c r="L58"/>
  <c r="N58"/>
  <c r="O58"/>
  <c r="N48" i="9" l="1"/>
  <c r="O48" l="1"/>
  <c r="N18"/>
  <c r="M9" i="1"/>
  <c r="N9" s="1"/>
  <c r="M39"/>
  <c r="Q110" i="9"/>
  <c r="P56" i="6"/>
  <c r="N97" i="9"/>
  <c r="M44" i="6"/>
  <c r="N39" i="1" l="1"/>
  <c r="N44" i="6"/>
  <c r="Q124" i="9" l="1"/>
  <c r="N124"/>
  <c r="M14" i="7"/>
  <c r="P14" s="1"/>
  <c r="Q73" i="9"/>
  <c r="Q66"/>
  <c r="Q54"/>
  <c r="Q30"/>
  <c r="Q31"/>
  <c r="P22" i="1"/>
  <c r="P21"/>
  <c r="P45"/>
  <c r="P20" i="6"/>
  <c r="P13"/>
  <c r="N105" i="9"/>
  <c r="M40" i="7"/>
  <c r="P62"/>
  <c r="Q171" i="9"/>
  <c r="Q169"/>
  <c r="Q170"/>
  <c r="P60" i="7"/>
  <c r="Q172" i="9"/>
  <c r="P59" i="7"/>
  <c r="P61"/>
  <c r="M63" l="1"/>
  <c r="N173" i="9"/>
  <c r="M24" i="8"/>
  <c r="N109" i="9"/>
  <c r="M55" i="6"/>
  <c r="M23" i="7" l="1"/>
  <c r="P55" i="6"/>
  <c r="M54"/>
  <c r="P54" s="1"/>
  <c r="M52"/>
  <c r="M60" s="1"/>
  <c r="N108" i="9"/>
  <c r="Q108" s="1"/>
  <c r="N106"/>
  <c r="N58" s="1"/>
  <c r="M18" i="8" s="1"/>
  <c r="Q107" i="9"/>
  <c r="P53" i="6"/>
  <c r="N12" i="1"/>
  <c r="Q45" i="9"/>
  <c r="Q40"/>
  <c r="Q182"/>
  <c r="Q23"/>
  <c r="P36" i="1"/>
  <c r="N72" i="7"/>
  <c r="O72" s="1"/>
  <c r="N14" i="1"/>
  <c r="O14" s="1"/>
  <c r="N53" i="9"/>
  <c r="N55" s="1"/>
  <c r="N44"/>
  <c r="Q44" s="1"/>
  <c r="N43"/>
  <c r="Q43" s="1"/>
  <c r="M44" i="1"/>
  <c r="M46" s="1"/>
  <c r="P35"/>
  <c r="M34"/>
  <c r="P34" s="1"/>
  <c r="M50"/>
  <c r="Q158" i="9"/>
  <c r="Q167"/>
  <c r="Q105"/>
  <c r="N15" l="1"/>
  <c r="N10" s="1"/>
  <c r="Q35"/>
  <c r="P44" i="1"/>
  <c r="P14"/>
  <c r="Q106" i="9"/>
  <c r="Q53"/>
  <c r="P72" i="7"/>
  <c r="P52" i="6"/>
  <c r="P26" i="1"/>
  <c r="P57" i="7"/>
  <c r="K67"/>
  <c r="P51" i="6"/>
  <c r="M121" i="9"/>
  <c r="M119"/>
  <c r="L80" i="7" l="1"/>
  <c r="L70"/>
  <c r="L69"/>
  <c r="P74"/>
  <c r="P75"/>
  <c r="P48"/>
  <c r="L43" i="6"/>
  <c r="L38"/>
  <c r="L37"/>
  <c r="L36"/>
  <c r="L27" i="1"/>
  <c r="L23"/>
  <c r="L10"/>
  <c r="L9"/>
  <c r="M115" i="9"/>
  <c r="Q184"/>
  <c r="Q185"/>
  <c r="M19"/>
  <c r="M18"/>
  <c r="L76" i="7" l="1"/>
  <c r="N50" i="1"/>
  <c r="O50"/>
  <c r="M37"/>
  <c r="Q37" i="9"/>
  <c r="N14"/>
  <c r="N9" s="1"/>
  <c r="L36"/>
  <c r="M36"/>
  <c r="O14"/>
  <c r="O9" s="1"/>
  <c r="P14"/>
  <c r="P9" s="1"/>
  <c r="O15"/>
  <c r="O10" s="1"/>
  <c r="P15"/>
  <c r="P10" s="1"/>
  <c r="Q22"/>
  <c r="Q176"/>
  <c r="Q175"/>
  <c r="Q33"/>
  <c r="Q29"/>
  <c r="Q20"/>
  <c r="P31" i="1"/>
  <c r="P44" i="7"/>
  <c r="Q154" i="9"/>
  <c r="Q94"/>
  <c r="O39" i="6"/>
  <c r="M47" i="1" l="1"/>
  <c r="P28"/>
  <c r="M49"/>
  <c r="M51" s="1"/>
  <c r="N14" i="8"/>
  <c r="Q36" i="9"/>
  <c r="O14" i="8"/>
  <c r="M14"/>
  <c r="O42" i="6"/>
  <c r="N42"/>
  <c r="O66" i="7"/>
  <c r="O67"/>
  <c r="O68"/>
  <c r="N73"/>
  <c r="O73" s="1"/>
  <c r="O65"/>
  <c r="O46" i="1"/>
  <c r="O12"/>
  <c r="O44" i="6"/>
  <c r="M42"/>
  <c r="M57" s="1"/>
  <c r="O57" l="1"/>
  <c r="O70" i="7"/>
  <c r="O10" i="1"/>
  <c r="P10" s="1"/>
  <c r="M13" i="8"/>
  <c r="M8" s="1"/>
  <c r="N57" i="6"/>
  <c r="O11" i="1"/>
  <c r="P11" s="1"/>
  <c r="P13"/>
  <c r="N12" i="9" l="1"/>
  <c r="N16" s="1"/>
  <c r="M15" i="8" l="1"/>
  <c r="M12" s="1"/>
  <c r="Q178" i="9"/>
  <c r="Q177"/>
  <c r="O97"/>
  <c r="P97"/>
  <c r="O95"/>
  <c r="P95"/>
  <c r="P111" s="1"/>
  <c r="N95"/>
  <c r="N111" s="1"/>
  <c r="M144"/>
  <c r="M147" s="1"/>
  <c r="M95"/>
  <c r="L42" i="6"/>
  <c r="L34" i="7"/>
  <c r="L37" s="1"/>
  <c r="M114" i="9"/>
  <c r="Q114" s="1"/>
  <c r="L79" i="7"/>
  <c r="P79" s="1"/>
  <c r="Q132" i="9"/>
  <c r="Q131"/>
  <c r="P22" i="7"/>
  <c r="P21"/>
  <c r="M180" i="9"/>
  <c r="L23" i="8" l="1"/>
  <c r="P23" s="1"/>
  <c r="M9" i="9"/>
  <c r="M96"/>
  <c r="M111" s="1"/>
  <c r="L13" i="8"/>
  <c r="M14" i="9"/>
  <c r="M91"/>
  <c r="M90"/>
  <c r="Q90" s="1"/>
  <c r="M89"/>
  <c r="L8" i="8" l="1"/>
  <c r="P8" s="1"/>
  <c r="Q72" i="9"/>
  <c r="M15"/>
  <c r="P19" i="6"/>
  <c r="P20" i="1"/>
  <c r="P19"/>
  <c r="L37" l="1"/>
  <c r="L50"/>
  <c r="L23" i="7"/>
  <c r="M133" i="9"/>
  <c r="Q28"/>
  <c r="L14" i="8"/>
  <c r="L24"/>
  <c r="M59" i="9"/>
  <c r="M10" s="1"/>
  <c r="L27" i="6"/>
  <c r="M32" i="9"/>
  <c r="M179"/>
  <c r="M186" s="1"/>
  <c r="L180"/>
  <c r="M92"/>
  <c r="Q91"/>
  <c r="Q88"/>
  <c r="K85"/>
  <c r="Q85" s="1"/>
  <c r="K86"/>
  <c r="K87"/>
  <c r="Q87" s="1"/>
  <c r="Q89"/>
  <c r="L92"/>
  <c r="N92"/>
  <c r="N56" s="1"/>
  <c r="N60" s="1"/>
  <c r="P38" i="6"/>
  <c r="P35"/>
  <c r="P37"/>
  <c r="L49" i="1" l="1"/>
  <c r="L97" i="9"/>
  <c r="Q97" s="1"/>
  <c r="L27"/>
  <c r="L26"/>
  <c r="L25"/>
  <c r="L24"/>
  <c r="Q24" s="1"/>
  <c r="L18"/>
  <c r="K70" i="7"/>
  <c r="K65"/>
  <c r="P65" s="1"/>
  <c r="K68"/>
  <c r="P68" s="1"/>
  <c r="K66"/>
  <c r="P66" s="1"/>
  <c r="P67"/>
  <c r="L61" i="6" l="1"/>
  <c r="L39"/>
  <c r="L19" i="8"/>
  <c r="K40" i="7"/>
  <c r="K13"/>
  <c r="K12"/>
  <c r="K11"/>
  <c r="K9"/>
  <c r="K44" i="6"/>
  <c r="P44" s="1"/>
  <c r="K18"/>
  <c r="K17"/>
  <c r="K16"/>
  <c r="K12"/>
  <c r="K11"/>
  <c r="K10"/>
  <c r="K9"/>
  <c r="K41" i="1"/>
  <c r="K40"/>
  <c r="K39" l="1"/>
  <c r="K18" l="1"/>
  <c r="K17"/>
  <c r="K16"/>
  <c r="K15"/>
  <c r="K9" l="1"/>
  <c r="Q19" i="9" l="1"/>
  <c r="M46"/>
  <c r="K54" i="7" l="1"/>
  <c r="L21" i="9" l="1"/>
  <c r="Q39"/>
  <c r="L32"/>
  <c r="Q27"/>
  <c r="P30" i="1" l="1"/>
  <c r="J9"/>
  <c r="J18"/>
  <c r="P18" s="1"/>
  <c r="M80" i="9" l="1"/>
  <c r="N34" i="7" l="1"/>
  <c r="O34" l="1"/>
  <c r="O37" s="1"/>
  <c r="N37"/>
  <c r="N24" i="1"/>
  <c r="P24" s="1"/>
  <c r="Q25" i="9" l="1"/>
  <c r="P16" i="1"/>
  <c r="L34" i="9"/>
  <c r="L15" s="1"/>
  <c r="K25" i="1"/>
  <c r="K50" s="1"/>
  <c r="P50" s="1"/>
  <c r="O69" i="7" l="1"/>
  <c r="O76" s="1"/>
  <c r="K23" i="1"/>
  <c r="K12"/>
  <c r="L144" i="9" l="1"/>
  <c r="Q144" l="1"/>
  <c r="L147"/>
  <c r="K34" i="7"/>
  <c r="Q183" i="9"/>
  <c r="Q140"/>
  <c r="Q141"/>
  <c r="Q142"/>
  <c r="Q143"/>
  <c r="Q120"/>
  <c r="Q125"/>
  <c r="Q126"/>
  <c r="Q128"/>
  <c r="Q129"/>
  <c r="Q130"/>
  <c r="Q113"/>
  <c r="Q117"/>
  <c r="Q51"/>
  <c r="Q52"/>
  <c r="Q38"/>
  <c r="Q41"/>
  <c r="Q42"/>
  <c r="Q8"/>
  <c r="Q13"/>
  <c r="Q99"/>
  <c r="Q68"/>
  <c r="Q74"/>
  <c r="Q75"/>
  <c r="Q76"/>
  <c r="Q77"/>
  <c r="Q78"/>
  <c r="K37" i="7" l="1"/>
  <c r="P34"/>
  <c r="O111" i="9"/>
  <c r="O102"/>
  <c r="O101"/>
  <c r="O100"/>
  <c r="O98"/>
  <c r="P11" i="8"/>
  <c r="P16"/>
  <c r="P18"/>
  <c r="P21"/>
  <c r="N19"/>
  <c r="P15" i="7"/>
  <c r="P16"/>
  <c r="P18"/>
  <c r="P19"/>
  <c r="P20"/>
  <c r="P10"/>
  <c r="P15" i="6"/>
  <c r="P48" i="1"/>
  <c r="P43"/>
  <c r="P42"/>
  <c r="P29"/>
  <c r="P32"/>
  <c r="P33"/>
  <c r="N49"/>
  <c r="N39" i="6"/>
  <c r="L63" i="7"/>
  <c r="N63"/>
  <c r="M26"/>
  <c r="N26"/>
  <c r="K46"/>
  <c r="K47"/>
  <c r="L166" i="9"/>
  <c r="L155"/>
  <c r="K45" i="7"/>
  <c r="P12"/>
  <c r="L95" i="9"/>
  <c r="Q95" s="1"/>
  <c r="K42" i="6"/>
  <c r="P42" s="1"/>
  <c r="N9" i="8" l="1"/>
  <c r="K73" i="7"/>
  <c r="P73" s="1"/>
  <c r="Q165" i="9"/>
  <c r="Q166"/>
  <c r="L164"/>
  <c r="L173" s="1"/>
  <c r="K56" i="7"/>
  <c r="P56" s="1"/>
  <c r="P55"/>
  <c r="P54"/>
  <c r="Q164" i="9" l="1"/>
  <c r="K80" i="7"/>
  <c r="K63"/>
  <c r="Q26" i="9"/>
  <c r="Q64"/>
  <c r="Q122"/>
  <c r="Q50"/>
  <c r="Q71"/>
  <c r="L115"/>
  <c r="L181"/>
  <c r="Q181" s="1"/>
  <c r="P41" i="1"/>
  <c r="K61" i="6"/>
  <c r="K71" i="7"/>
  <c r="P71" s="1"/>
  <c r="P36" i="6"/>
  <c r="L46" i="9"/>
  <c r="L14" l="1"/>
  <c r="Q14" s="1"/>
  <c r="L59"/>
  <c r="K39" i="6"/>
  <c r="L96" i="9"/>
  <c r="Q96" s="1"/>
  <c r="K27" i="1"/>
  <c r="K43" i="6"/>
  <c r="P43" s="1"/>
  <c r="S18" i="7"/>
  <c r="P27" i="1" l="1"/>
  <c r="K37"/>
  <c r="K27" i="6"/>
  <c r="P46" i="7"/>
  <c r="P47"/>
  <c r="K23" l="1"/>
  <c r="L133" i="9"/>
  <c r="L80" l="1"/>
  <c r="K57" i="6"/>
  <c r="K76" i="7" l="1"/>
  <c r="L186" i="9" l="1"/>
  <c r="L10"/>
  <c r="K24" i="8"/>
  <c r="N46" i="1" l="1"/>
  <c r="Q157" i="9" l="1"/>
  <c r="Q156"/>
  <c r="K115" l="1"/>
  <c r="K121"/>
  <c r="Q121" s="1"/>
  <c r="K119"/>
  <c r="K59"/>
  <c r="K69"/>
  <c r="K65"/>
  <c r="Q65" s="1"/>
  <c r="K63"/>
  <c r="Q63" s="1"/>
  <c r="K15"/>
  <c r="Q15" s="1"/>
  <c r="K49"/>
  <c r="Q49" s="1"/>
  <c r="K21"/>
  <c r="J24" i="8"/>
  <c r="P24" s="1"/>
  <c r="J19"/>
  <c r="J14"/>
  <c r="J80" i="7"/>
  <c r="J61" i="6"/>
  <c r="J14"/>
  <c r="P14" s="1"/>
  <c r="J9" i="7"/>
  <c r="J11"/>
  <c r="P11" s="1"/>
  <c r="P21" i="9" l="1"/>
  <c r="J18" i="6"/>
  <c r="P18" s="1"/>
  <c r="J11"/>
  <c r="P11" s="1"/>
  <c r="J10"/>
  <c r="P10" s="1"/>
  <c r="J12"/>
  <c r="P12" s="1"/>
  <c r="P25"/>
  <c r="P24"/>
  <c r="J16"/>
  <c r="Q21" i="9" l="1"/>
  <c r="J12" i="1"/>
  <c r="P12" s="1"/>
  <c r="P17"/>
  <c r="P15"/>
  <c r="J40"/>
  <c r="P40" s="1"/>
  <c r="J23"/>
  <c r="P23" s="1"/>
  <c r="K14" i="8"/>
  <c r="P14" s="1"/>
  <c r="P49" i="1" l="1"/>
  <c r="K13" i="8"/>
  <c r="P13" s="1"/>
  <c r="L9" i="9"/>
  <c r="Q9" l="1"/>
  <c r="Q115"/>
  <c r="K58"/>
  <c r="Q58" s="1"/>
  <c r="P60" i="6" l="1"/>
  <c r="J50" l="1"/>
  <c r="J57" s="1"/>
  <c r="K103" i="9"/>
  <c r="Q103" s="1"/>
  <c r="N102"/>
  <c r="M102"/>
  <c r="L102"/>
  <c r="N101"/>
  <c r="M101"/>
  <c r="L101"/>
  <c r="N100"/>
  <c r="M100"/>
  <c r="L100"/>
  <c r="N98"/>
  <c r="M98"/>
  <c r="L98"/>
  <c r="M45" i="6"/>
  <c r="L45"/>
  <c r="L49"/>
  <c r="M49"/>
  <c r="K49"/>
  <c r="L48"/>
  <c r="M48"/>
  <c r="L47"/>
  <c r="M47"/>
  <c r="P46"/>
  <c r="K45"/>
  <c r="K48"/>
  <c r="K47"/>
  <c r="Q100" i="9" l="1"/>
  <c r="Q102"/>
  <c r="Q98"/>
  <c r="Q101"/>
  <c r="K111"/>
  <c r="L57" i="6"/>
  <c r="P57" s="1"/>
  <c r="P41"/>
  <c r="P48"/>
  <c r="L111" i="9"/>
  <c r="M56"/>
  <c r="M60" s="1"/>
  <c r="L20" i="8" s="1"/>
  <c r="P47" i="6"/>
  <c r="P45"/>
  <c r="P49"/>
  <c r="Q111" i="9" l="1"/>
  <c r="M19" i="8"/>
  <c r="M9" s="1"/>
  <c r="Q160" i="9"/>
  <c r="Q159"/>
  <c r="P23" i="6"/>
  <c r="P22"/>
  <c r="P21"/>
  <c r="P52" i="7"/>
  <c r="P50"/>
  <c r="P49"/>
  <c r="P39"/>
  <c r="P30"/>
  <c r="P31"/>
  <c r="P32"/>
  <c r="P33"/>
  <c r="M39" i="6"/>
  <c r="M58" s="1"/>
  <c r="M62" s="1"/>
  <c r="L46" i="1"/>
  <c r="K46"/>
  <c r="N136" i="9"/>
  <c r="M55"/>
  <c r="M12" s="1"/>
  <c r="L55"/>
  <c r="P18" l="1"/>
  <c r="P46" s="1"/>
  <c r="P62"/>
  <c r="L51" i="1"/>
  <c r="L15" i="8" s="1"/>
  <c r="L12" s="1"/>
  <c r="L47" i="1"/>
  <c r="O46" i="9"/>
  <c r="K47" i="1"/>
  <c r="K51"/>
  <c r="K15" i="8" s="1"/>
  <c r="K12" s="1"/>
  <c r="N133" i="9"/>
  <c r="O9" i="6"/>
  <c r="L12" i="9"/>
  <c r="M20" i="8"/>
  <c r="Q18" i="9" l="1"/>
  <c r="M17" i="8"/>
  <c r="O16" i="6"/>
  <c r="P16" s="1"/>
  <c r="N112" i="9"/>
  <c r="N116"/>
  <c r="N11" s="1"/>
  <c r="O133"/>
  <c r="P133"/>
  <c r="P69"/>
  <c r="N27" i="6"/>
  <c r="N58" s="1"/>
  <c r="N62" s="1"/>
  <c r="L16" i="9"/>
  <c r="P80" l="1"/>
  <c r="P56" s="1"/>
  <c r="P60" s="1"/>
  <c r="N20" i="8"/>
  <c r="M77" i="7"/>
  <c r="M81" s="1"/>
  <c r="M25" i="8" s="1"/>
  <c r="O56" i="9"/>
  <c r="O60" s="1"/>
  <c r="O27" i="6"/>
  <c r="O58" s="1"/>
  <c r="O62" s="1"/>
  <c r="O20" i="8" s="1"/>
  <c r="O17" s="1"/>
  <c r="Q119" i="9"/>
  <c r="Q69"/>
  <c r="N23" i="7"/>
  <c r="N77" s="1"/>
  <c r="N81" s="1"/>
  <c r="N25" i="8" s="1"/>
  <c r="N22" s="1"/>
  <c r="O9" i="7"/>
  <c r="O23" s="1"/>
  <c r="O77" s="1"/>
  <c r="O81" s="1"/>
  <c r="O25" i="8" s="1"/>
  <c r="O22" s="1"/>
  <c r="P116" i="9"/>
  <c r="P112"/>
  <c r="O116"/>
  <c r="O112"/>
  <c r="O55"/>
  <c r="P48"/>
  <c r="P55" s="1"/>
  <c r="P12" s="1"/>
  <c r="P16" s="1"/>
  <c r="P11" l="1"/>
  <c r="P7" s="1"/>
  <c r="N17" i="8"/>
  <c r="M10"/>
  <c r="M22"/>
  <c r="P9" i="7"/>
  <c r="O12" i="9"/>
  <c r="O16" s="1"/>
  <c r="N7"/>
  <c r="P61" i="6"/>
  <c r="M7" i="8" l="1"/>
  <c r="O11" i="9"/>
  <c r="K127"/>
  <c r="Q127" s="1"/>
  <c r="O7" l="1"/>
  <c r="J17" i="7"/>
  <c r="P17" s="1"/>
  <c r="P80" l="1"/>
  <c r="K161" i="9" l="1"/>
  <c r="K163"/>
  <c r="K84"/>
  <c r="Q84" s="1"/>
  <c r="K83"/>
  <c r="K82"/>
  <c r="J51" i="7"/>
  <c r="P51" s="1"/>
  <c r="J53"/>
  <c r="P53" s="1"/>
  <c r="J34" i="6"/>
  <c r="P34" s="1"/>
  <c r="J33"/>
  <c r="P33" s="1"/>
  <c r="J32"/>
  <c r="P32" s="1"/>
  <c r="J31"/>
  <c r="P31" s="1"/>
  <c r="J30"/>
  <c r="P30" s="1"/>
  <c r="J29"/>
  <c r="K92" i="9" l="1"/>
  <c r="J39" i="6"/>
  <c r="Q163" i="9"/>
  <c r="P29" i="6"/>
  <c r="P39" s="1"/>
  <c r="V11" i="9"/>
  <c r="K10" l="1"/>
  <c r="K34" l="1"/>
  <c r="Q34" s="1"/>
  <c r="K155"/>
  <c r="Q155" s="1"/>
  <c r="Q161"/>
  <c r="K153"/>
  <c r="Q153" s="1"/>
  <c r="K180"/>
  <c r="Q180" s="1"/>
  <c r="J43" i="7"/>
  <c r="P43" s="1"/>
  <c r="J70"/>
  <c r="P70" s="1"/>
  <c r="J40"/>
  <c r="P40" s="1"/>
  <c r="J45"/>
  <c r="P45" s="1"/>
  <c r="J63" l="1"/>
  <c r="P63" s="1"/>
  <c r="K173" i="9"/>
  <c r="J25" i="1"/>
  <c r="J13" i="7"/>
  <c r="P13" s="1"/>
  <c r="K123" i="9"/>
  <c r="Q123" s="1"/>
  <c r="K67"/>
  <c r="Q67" s="1"/>
  <c r="P25" i="1" l="1"/>
  <c r="J37"/>
  <c r="J9" i="8"/>
  <c r="P50" i="6"/>
  <c r="J17"/>
  <c r="P17" s="1"/>
  <c r="J9"/>
  <c r="P9" s="1"/>
  <c r="J39" i="1"/>
  <c r="P39" s="1"/>
  <c r="P46" s="1"/>
  <c r="J27" i="6" l="1"/>
  <c r="P27" s="1"/>
  <c r="P58" s="1"/>
  <c r="J23" i="7"/>
  <c r="P23" s="1"/>
  <c r="J46" i="1"/>
  <c r="J51" s="1"/>
  <c r="K70" i="9"/>
  <c r="Q70" s="1"/>
  <c r="K62"/>
  <c r="Q62" s="1"/>
  <c r="K48"/>
  <c r="Q48" s="1"/>
  <c r="K55" l="1"/>
  <c r="Q55" s="1"/>
  <c r="K80"/>
  <c r="Q80" s="1"/>
  <c r="J58" i="6"/>
  <c r="J62" s="1"/>
  <c r="K133" i="9"/>
  <c r="Q133" s="1"/>
  <c r="J20" i="8" l="1"/>
  <c r="K56" i="9"/>
  <c r="K139"/>
  <c r="Q139" s="1"/>
  <c r="K138"/>
  <c r="K32"/>
  <c r="Q32" s="1"/>
  <c r="J28" i="7"/>
  <c r="J29"/>
  <c r="P29" s="1"/>
  <c r="K179" i="9"/>
  <c r="Q179" s="1"/>
  <c r="J69" i="7"/>
  <c r="P69" s="1"/>
  <c r="P76" s="1"/>
  <c r="Q57" i="9"/>
  <c r="M173"/>
  <c r="Q162"/>
  <c r="Q173"/>
  <c r="M136"/>
  <c r="M112" s="1"/>
  <c r="L136"/>
  <c r="K136"/>
  <c r="Q135"/>
  <c r="Q136" s="1"/>
  <c r="Q82"/>
  <c r="Q92" s="1"/>
  <c r="J37" i="7" l="1"/>
  <c r="Q138" i="9"/>
  <c r="Q147" s="1"/>
  <c r="K147"/>
  <c r="L112"/>
  <c r="K60"/>
  <c r="J17" i="8"/>
  <c r="J76" i="7"/>
  <c r="K186" i="9"/>
  <c r="Q186" s="1"/>
  <c r="M16"/>
  <c r="K46"/>
  <c r="Q46" s="1"/>
  <c r="L116"/>
  <c r="P28" i="7"/>
  <c r="P37" s="1"/>
  <c r="L56" i="9"/>
  <c r="Q56" s="1"/>
  <c r="L60" l="1"/>
  <c r="Q60" s="1"/>
  <c r="K12"/>
  <c r="M11"/>
  <c r="K116"/>
  <c r="Q116" s="1"/>
  <c r="K112"/>
  <c r="Q112" s="1"/>
  <c r="K16" l="1"/>
  <c r="Q16" s="1"/>
  <c r="Q12"/>
  <c r="L11"/>
  <c r="Q10"/>
  <c r="K11" l="1"/>
  <c r="K7" s="1"/>
  <c r="M7"/>
  <c r="L7"/>
  <c r="Q11" l="1"/>
  <c r="Q7"/>
  <c r="J47" i="1" l="1"/>
  <c r="P42" i="7"/>
  <c r="S42"/>
  <c r="R42"/>
  <c r="S41"/>
  <c r="R41"/>
  <c r="P41"/>
  <c r="L26"/>
  <c r="K26"/>
  <c r="K77" s="1"/>
  <c r="K81" s="1"/>
  <c r="J26"/>
  <c r="J77" s="1"/>
  <c r="J81" s="1"/>
  <c r="P25"/>
  <c r="P26" s="1"/>
  <c r="S17"/>
  <c r="R17"/>
  <c r="S15"/>
  <c r="L9" i="8"/>
  <c r="K58" i="6"/>
  <c r="K62" s="1"/>
  <c r="R4" i="8"/>
  <c r="K19"/>
  <c r="K9" l="1"/>
  <c r="P9" s="1"/>
  <c r="P19"/>
  <c r="J15"/>
  <c r="L58" i="6"/>
  <c r="L62" s="1"/>
  <c r="P62" s="1"/>
  <c r="K20" i="8"/>
  <c r="P20" s="1"/>
  <c r="L77" i="7" l="1"/>
  <c r="P77"/>
  <c r="J12" i="8"/>
  <c r="K17"/>
  <c r="L81" i="7" l="1"/>
  <c r="L25" i="8" s="1"/>
  <c r="L22" s="1"/>
  <c r="L17"/>
  <c r="P17" s="1"/>
  <c r="K25"/>
  <c r="P81" i="7" l="1"/>
  <c r="L10" i="8"/>
  <c r="L7" s="1"/>
  <c r="K10"/>
  <c r="K7" s="1"/>
  <c r="K22"/>
  <c r="S5" l="1"/>
  <c r="S6" s="1"/>
  <c r="T5" l="1"/>
  <c r="T6" s="1"/>
  <c r="J25" l="1"/>
  <c r="P25" s="1"/>
  <c r="J10" l="1"/>
  <c r="J22"/>
  <c r="P22" s="1"/>
  <c r="J7" l="1"/>
  <c r="R5" l="1"/>
  <c r="R6" s="1"/>
  <c r="N37" i="1"/>
  <c r="N47" s="1"/>
  <c r="O9" l="1"/>
  <c r="O37" s="1"/>
  <c r="P37" s="1"/>
  <c r="N51"/>
  <c r="N15" i="8" s="1"/>
  <c r="N10" s="1"/>
  <c r="N12" l="1"/>
  <c r="O47" i="1"/>
  <c r="P47" s="1"/>
  <c r="O51"/>
  <c r="O15" i="8" s="1"/>
  <c r="P9" i="1"/>
  <c r="P51" l="1"/>
  <c r="O12" i="8"/>
  <c r="O10"/>
  <c r="O7" s="1"/>
  <c r="N7"/>
  <c r="P15"/>
  <c r="P12"/>
  <c r="P7" l="1"/>
  <c r="P10"/>
</calcChain>
</file>

<file path=xl/sharedStrings.xml><?xml version="1.0" encoding="utf-8"?>
<sst xmlns="http://schemas.openxmlformats.org/spreadsheetml/2006/main" count="2491" uniqueCount="358">
  <si>
    <t>ДК</t>
  </si>
  <si>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</si>
  <si>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</si>
  <si>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</si>
  <si>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</si>
  <si>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</si>
  <si>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</si>
  <si>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</si>
  <si>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</si>
  <si>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</si>
  <si>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</si>
  <si>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</si>
  <si>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</si>
  <si>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</si>
  <si>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</si>
  <si>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</si>
  <si>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</si>
  <si>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</si>
  <si>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</si>
  <si>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</si>
  <si>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</si>
  <si>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</si>
  <si>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</si>
  <si>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</si>
  <si>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</si>
  <si>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</si>
  <si>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</si>
  <si>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</si>
  <si>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</si>
  <si>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</si>
  <si>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</si>
  <si>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</si>
  <si>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</si>
  <si>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</si>
  <si>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</si>
  <si>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</si>
  <si>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</si>
  <si>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</si>
  <si>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</si>
  <si>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</si>
  <si>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</si>
  <si>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</si>
  <si>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</si>
  <si>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</si>
  <si>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</si>
  <si>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</si>
  <si>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</si>
  <si>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</si>
  <si>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</si>
  <si>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</si>
  <si>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</si>
  <si>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</si>
  <si>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</si>
  <si>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</si>
  <si>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</si>
  <si>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</si>
  <si>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</si>
  <si>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</si>
  <si>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</si>
  <si>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</si>
  <si>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</si>
  <si>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</si>
  <si>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</si>
  <si>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</si>
  <si>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</si>
  <si>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</si>
  <si>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</si>
  <si>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</si>
  <si>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</si>
  <si>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</si>
  <si>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</si>
  <si>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</si>
  <si>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</si>
  <si>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</si>
  <si>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</si>
  <si>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</si>
  <si>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</si>
  <si>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</si>
  <si>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</si>
  <si>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</si>
  <si>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</si>
  <si>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</si>
  <si>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Библиотечный фонд общедоступных библиотек к 2016 году составит 116 тыс. экз.</t>
  </si>
  <si>
    <t>количество новых изданий увеличется  на 450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</si>
  <si>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</si>
  <si>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</si>
  <si>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</si>
  <si>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 Поддержка не менее 6  социокультурных проектов 
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</si>
  <si>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</si>
  <si>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</si>
  <si>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</si>
  <si>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</si>
  <si>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</si>
  <si>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</si>
  <si>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</si>
  <si>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</si>
  <si>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</si>
  <si>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</si>
  <si>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</si>
  <si>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</si>
  <si>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</si>
  <si>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</si>
  <si>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</si>
  <si>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</si>
  <si>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</si>
  <si>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</si>
  <si>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</si>
  <si>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</si>
  <si>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</si>
  <si>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</si>
  <si>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</si>
  <si>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</si>
  <si>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</si>
  <si>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</si>
  <si>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</si>
  <si>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</si>
  <si>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</si>
  <si>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</si>
  <si>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</si>
  <si>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</si>
  <si>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</si>
  <si>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</si>
  <si>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</si>
  <si>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</si>
  <si>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</si>
  <si>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</si>
  <si>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</si>
  <si>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</si>
  <si>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</si>
  <si>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</si>
  <si>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</si>
  <si>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</si>
  <si>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</si>
  <si>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</si>
  <si>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</si>
  <si>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</si>
  <si>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</si>
  <si>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</si>
  <si>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</si>
  <si>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</si>
  <si>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</si>
  <si>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</si>
  <si>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</si>
  <si>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</si>
  <si>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</si>
  <si>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</si>
  <si>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</si>
  <si>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</si>
  <si>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</si>
  <si>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</si>
  <si>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</si>
  <si>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</si>
  <si>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</si>
  <si>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</si>
  <si>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</si>
  <si>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ДК-поездка акрабат.-цирковой студии "Балаганчик" в Санкт-Петербург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</si>
  <si>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</si>
  <si>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ДК-краевые деньги</t>
  </si>
  <si>
    <t>краевые деньги</t>
  </si>
  <si>
    <t>2017 год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</si>
  <si>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</si>
  <si>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</si>
  <si>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</si>
  <si>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</si>
  <si>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</si>
  <si>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</si>
  <si>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</si>
  <si>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</si>
  <si>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</si>
  <si>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</si>
  <si>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</si>
  <si>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t>Приложение 2                                                                        к паспорту подпрограммы                                         "Сохранение культурного наследия"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</si>
  <si>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</si>
  <si>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</si>
  <si>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</si>
  <si>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</si>
  <si>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</si>
  <si>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</si>
  <si>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</si>
  <si>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МИБ                                310 ст ДК Угольщик на приобр.  Микрафонов радио. Системы</t>
  </si>
  <si>
    <t>78 023,93 руб. 211 доп. Ассигнования з/плата 213 23563,22 руб. ДК Угольщик</t>
  </si>
  <si>
    <t xml:space="preserve">ФОТ + специалист зкономист </t>
  </si>
  <si>
    <t>ГДР, ДК,Миб     ДК ремонт фонтана</t>
  </si>
  <si>
    <t>З/п ДК 2015г.</t>
  </si>
  <si>
    <t>80000  буклет</t>
  </si>
  <si>
    <t>222 480 ДШИ охрана 160237,86 ДШИ з/п</t>
  </si>
  <si>
    <t>доп.ассигонв.на приоб. Цветов    10,0 конфеты  80000 буклет</t>
  </si>
  <si>
    <t>ГДР СНИМАЛИ НА ДШИ -49476,6</t>
  </si>
  <si>
    <t>С ЦБС снимали деньги -110761,26 на ДШИ</t>
  </si>
  <si>
    <t>Угольщик</t>
  </si>
  <si>
    <t>65*12 пособие маме, 1938 авансовый отчет м/о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</si>
  <si>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</si>
  <si>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</si>
  <si>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</si>
  <si>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</si>
  <si>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</si>
  <si>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</si>
  <si>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</si>
  <si>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</si>
  <si>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</si>
  <si>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</si>
  <si>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</si>
  <si>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</si>
  <si>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</si>
  <si>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</si>
  <si>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</si>
  <si>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</si>
  <si>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</si>
  <si>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</si>
  <si>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с ДШИ на софинан. 2050</t>
  </si>
  <si>
    <t>20,0 ДК полевая кухня; 50,0 ДК творческий коллектив; Снимали на софинанс. На ДК 2000 ГДР 546;</t>
  </si>
  <si>
    <t>Субсидия ДК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</si>
  <si>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</si>
  <si>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Софинансирование ДК</t>
  </si>
  <si>
    <t>Снимали 7700 с ЦБС</t>
  </si>
  <si>
    <t>ГДР Субсидия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</si>
  <si>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</si>
  <si>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</si>
  <si>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</si>
  <si>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</si>
  <si>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сохранение и эффективное использование культурного наследия города Бородино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</si>
  <si>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</si>
  <si>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</si>
  <si>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</si>
  <si>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</si>
  <si>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</si>
  <si>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</si>
  <si>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</si>
  <si>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</si>
  <si>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</si>
  <si>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</si>
  <si>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</si>
  <si>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</si>
  <si>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</si>
  <si>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</si>
  <si>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</si>
  <si>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</si>
  <si>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</si>
  <si>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</si>
  <si>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</si>
  <si>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</si>
  <si>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</si>
  <si>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</si>
  <si>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</si>
  <si>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</si>
  <si>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</si>
  <si>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</si>
  <si>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</si>
  <si>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</si>
  <si>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</si>
  <si>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</si>
  <si>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</si>
  <si>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</si>
  <si>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</si>
  <si>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</si>
  <si>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</si>
  <si>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</si>
  <si>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</si>
  <si>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</si>
  <si>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</si>
  <si>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</si>
  <si>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</si>
  <si>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</si>
  <si>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</si>
  <si>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</si>
  <si>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</si>
  <si>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</si>
  <si>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</si>
  <si>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</si>
  <si>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</si>
  <si>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</si>
  <si>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</si>
  <si>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</si>
  <si>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</si>
  <si>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</si>
  <si>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</si>
  <si>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</si>
  <si>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</si>
  <si>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</si>
  <si>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</si>
  <si>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009421П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</si>
  <si>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</si>
  <si>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</si>
  <si>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</si>
  <si>
    <t>0050140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</si>
  <si>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</si>
  <si>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 (Софинансирование субсидии за счет местного бюджета)</t>
  </si>
  <si>
    <t>ОКСМП и ИО   Федеральный бюджет</t>
  </si>
  <si>
    <t>00L0140</t>
  </si>
  <si>
    <t>Итого на 
2014 -2019 годы</t>
  </si>
  <si>
    <t>2019 год</t>
  </si>
  <si>
    <t>Итого на  
2014-2019 годы</t>
  </si>
  <si>
    <t>Итого на 2014 -2019 годы</t>
  </si>
  <si>
    <t xml:space="preserve">Приложение 3 к паспорту муниципальной программы города Бородино "Развитие культуры"
</t>
  </si>
  <si>
    <r>
      <rPr>
        <sz val="14"/>
        <color indexed="8"/>
        <rFont val="Arial"/>
        <family val="2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Arial"/>
        <family val="2"/>
        <charset val="204"/>
      </rPr>
      <t xml:space="preserve">
</t>
    </r>
  </si>
  <si>
    <t>Приложение 2  к паспорту подпрограммы  "Поддержка искусства и народного творчества"</t>
  </si>
  <si>
    <t xml:space="preserve">Приложение  2 к паспорту подпрограммы "Обеспечение условий реализациии муниципальной программы и прочие мероприятия"
          </t>
  </si>
  <si>
    <t>1.10</t>
  </si>
  <si>
    <t>1.11</t>
  </si>
  <si>
    <t>0077440</t>
  </si>
  <si>
    <t>3.3.</t>
  </si>
  <si>
    <t>4.13.</t>
  </si>
  <si>
    <t>0094150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</si>
  <si>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5 "Обеспечение условий реализации государственной программы и прочие мероприятия" ГП Красноярского края "Развитие культуры и туризма"</t>
  </si>
  <si>
    <t>Поддержка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</si>
  <si>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00R5190</t>
  </si>
  <si>
    <t>1.12</t>
  </si>
  <si>
    <t>Разработка дизайн-проекта к ПСД на модернизацию городской библиотеки</t>
  </si>
  <si>
    <t>Субсидия на частичное финансирование (возмещение) расходов на повышение размеров оплаты труда основного персонала муниципальных библиотек и муниципальных музеев Красноярского края</t>
  </si>
  <si>
    <t>1.13</t>
  </si>
  <si>
    <t>0010440</t>
  </si>
  <si>
    <t>2.4.</t>
  </si>
  <si>
    <t>853</t>
  </si>
  <si>
    <t>1.14</t>
  </si>
  <si>
    <t>00L5190</t>
  </si>
  <si>
    <t>3.4.</t>
  </si>
  <si>
    <t>Обеспечение развития и укрепления материально-технической базы муниципальных домов культуры</t>
  </si>
  <si>
    <t>00R5580</t>
  </si>
  <si>
    <t>3.5.</t>
  </si>
  <si>
    <t>3.6.</t>
  </si>
  <si>
    <t>00S8400</t>
  </si>
  <si>
    <t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(Софинансирование за счет средств местного бюджета)</t>
  </si>
  <si>
    <t>3.7.</t>
  </si>
  <si>
    <t xml:space="preserve"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</t>
  </si>
  <si>
    <t>0078400</t>
  </si>
  <si>
    <t xml:space="preserve">Софинансирование к субсидии на организационную и материально-техническую модернизацию городских муниципальных библиотек Красноярского края </t>
  </si>
  <si>
    <t>4.15</t>
  </si>
  <si>
    <t xml:space="preserve">Субсидия на организационную и материально-техническую модернизацию городских муниципальных библиотек Красноярского края </t>
  </si>
  <si>
    <t>00S4490</t>
  </si>
  <si>
    <t>4.16</t>
  </si>
  <si>
    <t>4.14.</t>
  </si>
  <si>
    <t>4.15.</t>
  </si>
  <si>
    <t>4.16.</t>
  </si>
  <si>
    <t>0074490</t>
  </si>
  <si>
    <t>4.17</t>
  </si>
  <si>
    <t>4.17.</t>
  </si>
  <si>
    <t>00L5580</t>
  </si>
  <si>
    <t>Софинансирование субсидии на обеспечение развития и укрепления материально-технической базы муниципальных домов культуры</t>
  </si>
  <si>
    <t>0010460</t>
  </si>
  <si>
    <t>2.5.</t>
  </si>
  <si>
    <t>0010420</t>
  </si>
  <si>
    <t>Субсидия на частичное финансирование (возмещение) расходов на увеличение размеров оплаты труда работников учреждений культуры, подведомственных муниципальному органу управления в сфере культуры</t>
  </si>
  <si>
    <t xml:space="preserve">Субсидия 
на частичное финансирование (возмещение) расходов на увеличение размеров оплаты труда педагогических работников муниципальных учреждений дополнительного образования детей
</t>
  </si>
  <si>
    <t>Приложение №  к постановлению администрации города Бородино  от                            №</t>
  </si>
  <si>
    <t>3.8.</t>
  </si>
  <si>
    <t>0098210</t>
  </si>
  <si>
    <t>Целевое пожертвование денежных средств на площадь МБУК ГДК "Угольщик"</t>
  </si>
  <si>
    <t>4.18</t>
  </si>
  <si>
    <t xml:space="preserve">Субсидии на подключение общедоступных библиотек Российской Федерации 
к сети Интернет и развитие системы библиотечного дела с учетом 
задачи расширения информационных технологий и оцифровки 
</t>
  </si>
  <si>
    <t xml:space="preserve">Софинансирование к субсидии на подключение общедоступных библиотек Российской Федерации 
к сети Интернет и развитие системы библиотечного дела с учетом 
задачи расширения информационных технологий и оцифровки </t>
  </si>
  <si>
    <t>00S5190</t>
  </si>
  <si>
    <t xml:space="preserve">Субсидии на подключение общедоступных библиотек Российской Федерации 
к сети Интернет и развитие системы библиотечного дела с учетом 
задачи расширения информационных технологий и оцифровки </t>
  </si>
  <si>
    <t>Софинансирование для Поддержки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</si>
  <si>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предоставление иных межбюджетных трансфертов бюджетам муниципальных образований в целях содействия достижению и  (или) пощрения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закрепленным за муниципальным образованиями" государственной программы Красноярского края "содействие развитию местного самоуправления"</t>
  </si>
  <si>
    <r>
      <rPr>
        <sz val="14"/>
        <color indexed="8"/>
        <rFont val="Arial"/>
        <family val="2"/>
        <charset val="204"/>
      </rPr>
      <t>Приложение №2  к постановлению администрации города Бородино от 26.12.2017   № 932</t>
    </r>
    <r>
      <rPr>
        <sz val="12"/>
        <color indexed="8"/>
        <rFont val="Arial"/>
        <family val="2"/>
        <charset val="204"/>
      </rPr>
      <t xml:space="preserve">
</t>
    </r>
  </si>
  <si>
    <t xml:space="preserve">Приложение № 1                                                                                                                                           к постановлению администрации города Бородино                от    26.12.2017 № 933  </t>
  </si>
  <si>
    <t>Приложение № 3                                                                        к постановлению администрации города Бородино от  26.12.2017  № 933</t>
  </si>
  <si>
    <t>Приложение № 4  к постановлению администрации города Бородино  от 26.12.2017  № 933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</si>
</sst>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#,##0.00_ ;\-#,##0.00\ "/>
    <numFmt numFmtId="168" formatCode="_-* #,##0.00_р_._-;\-* #,##0.00_р_._-;_-* &quot;-&quot;?_р_._-;_-@_-"/>
  </numFmts>
  <fonts count="25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609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49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9" fillId="0" borderId="0" xfId="0" applyFont="1" applyAlignment="1">
      <alignment vertical="center" wrapText="1"/>
    </xf>
    <xf numFmtId="49" fontId="10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49" fontId="11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49" fontId="14" fillId="2" borderId="6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14" fillId="2" borderId="1" xfId="0" quotePrefix="1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14" fillId="2" borderId="4" xfId="0" applyNumberFormat="1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4" fillId="2" borderId="4" xfId="0" quotePrefix="1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164" fontId="14" fillId="2" borderId="4" xfId="0" applyNumberFormat="1" applyFont="1" applyFill="1" applyBorder="1" applyAlignment="1">
      <alignment horizontal="righ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4" xfId="0" applyNumberFormat="1" applyFont="1" applyFill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vertical="top" wrapText="1"/>
    </xf>
    <xf numFmtId="49" fontId="15" fillId="8" borderId="4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49" fontId="14" fillId="8" borderId="4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14" fillId="8" borderId="1" xfId="0" applyNumberFormat="1" applyFont="1" applyFill="1" applyBorder="1" applyAlignment="1">
      <alignment horizontal="center" vertical="top" wrapText="1"/>
    </xf>
    <xf numFmtId="49" fontId="14" fillId="8" borderId="5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166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167" fontId="14" fillId="0" borderId="1" xfId="0" applyNumberFormat="1" applyFont="1" applyFill="1" applyBorder="1" applyAlignment="1">
      <alignment horizontal="right"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right" vertical="top" wrapText="1"/>
    </xf>
    <xf numFmtId="166" fontId="7" fillId="2" borderId="13" xfId="0" applyNumberFormat="1" applyFont="1" applyFill="1" applyBorder="1" applyAlignment="1">
      <alignment vertical="top" wrapText="1"/>
    </xf>
    <xf numFmtId="166" fontId="7" fillId="2" borderId="9" xfId="0" applyNumberFormat="1" applyFont="1" applyFill="1" applyBorder="1" applyAlignment="1">
      <alignment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right" vertical="top" wrapText="1"/>
    </xf>
    <xf numFmtId="49" fontId="7" fillId="2" borderId="1" xfId="0" quotePrefix="1" applyNumberFormat="1" applyFont="1" applyFill="1" applyBorder="1" applyAlignment="1">
      <alignment horizontal="center" vertical="top" wrapText="1"/>
    </xf>
    <xf numFmtId="0" fontId="14" fillId="2" borderId="1" xfId="0" quotePrefix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right" vertical="top" wrapText="1"/>
    </xf>
    <xf numFmtId="165" fontId="14" fillId="2" borderId="1" xfId="0" applyNumberFormat="1" applyFont="1" applyFill="1" applyBorder="1" applyAlignment="1">
      <alignment horizontal="right" vertical="top" wrapText="1"/>
    </xf>
    <xf numFmtId="0" fontId="14" fillId="8" borderId="5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7" fontId="14" fillId="2" borderId="1" xfId="0" applyNumberFormat="1" applyFont="1" applyFill="1" applyBorder="1" applyAlignment="1">
      <alignment horizontal="right" vertical="top" wrapText="1"/>
    </xf>
    <xf numFmtId="166" fontId="15" fillId="2" borderId="1" xfId="0" applyNumberFormat="1" applyFont="1" applyFill="1" applyBorder="1" applyAlignment="1">
      <alignment horizontal="left" vertical="top" wrapText="1"/>
    </xf>
    <xf numFmtId="168" fontId="14" fillId="2" borderId="1" xfId="0" applyNumberFormat="1" applyFont="1" applyFill="1" applyBorder="1" applyAlignment="1">
      <alignment horizontal="right" vertical="top" wrapText="1"/>
    </xf>
    <xf numFmtId="168" fontId="7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4" xfId="0" quotePrefix="1" applyNumberFormat="1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vertical="center" wrapText="1"/>
    </xf>
    <xf numFmtId="49" fontId="7" fillId="7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164" fontId="15" fillId="0" borderId="4" xfId="0" applyNumberFormat="1" applyFont="1" applyBorder="1" applyAlignment="1">
      <alignment horizontal="right" vertical="top" wrapText="1"/>
    </xf>
    <xf numFmtId="49" fontId="15" fillId="0" borderId="4" xfId="0" quotePrefix="1" applyNumberFormat="1" applyFont="1" applyBorder="1" applyAlignment="1">
      <alignment horizontal="center" vertical="top" wrapText="1"/>
    </xf>
    <xf numFmtId="164" fontId="14" fillId="0" borderId="4" xfId="0" applyNumberFormat="1" applyFont="1" applyBorder="1" applyAlignment="1">
      <alignment horizontal="righ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5" fillId="0" borderId="2" xfId="0" quotePrefix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49" fontId="15" fillId="2" borderId="4" xfId="0" quotePrefix="1" applyNumberFormat="1" applyFont="1" applyFill="1" applyBorder="1" applyAlignment="1">
      <alignment horizontal="center" vertical="top" wrapText="1"/>
    </xf>
    <xf numFmtId="49" fontId="15" fillId="8" borderId="4" xfId="0" quotePrefix="1" applyNumberFormat="1" applyFont="1" applyFill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49" fontId="7" fillId="6" borderId="6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center" vertical="top" wrapText="1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center" wrapText="1"/>
    </xf>
    <xf numFmtId="166" fontId="7" fillId="0" borderId="2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right" vertical="top" wrapText="1"/>
    </xf>
    <xf numFmtId="49" fontId="15" fillId="9" borderId="1" xfId="0" applyNumberFormat="1" applyFont="1" applyFill="1" applyBorder="1" applyAlignment="1">
      <alignment horizontal="center" vertical="top" wrapText="1"/>
    </xf>
    <xf numFmtId="49" fontId="15" fillId="9" borderId="4" xfId="0" applyNumberFormat="1" applyFont="1" applyFill="1" applyBorder="1" applyAlignment="1">
      <alignment horizontal="center" vertical="top" wrapText="1"/>
    </xf>
    <xf numFmtId="49" fontId="15" fillId="9" borderId="5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vertical="top" wrapText="1"/>
    </xf>
    <xf numFmtId="167" fontId="17" fillId="0" borderId="1" xfId="0" applyNumberFormat="1" applyFont="1" applyFill="1" applyBorder="1" applyAlignment="1">
      <alignment horizontal="right" vertical="top" wrapText="1"/>
    </xf>
    <xf numFmtId="166" fontId="17" fillId="0" borderId="7" xfId="0" applyNumberFormat="1" applyFont="1" applyFill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7" fillId="4" borderId="15" xfId="0" applyNumberFormat="1" applyFont="1" applyFill="1" applyBorder="1" applyAlignment="1">
      <alignment horizontal="center"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center" vertical="top" wrapText="1"/>
    </xf>
    <xf numFmtId="167" fontId="7" fillId="4" borderId="1" xfId="0" applyNumberFormat="1" applyFont="1" applyFill="1" applyBorder="1" applyAlignment="1">
      <alignment horizontal="right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5" fontId="7" fillId="4" borderId="1" xfId="0" applyNumberFormat="1" applyFont="1" applyFill="1" applyBorder="1" applyAlignment="1">
      <alignment horizontal="right" vertical="top" wrapText="1"/>
    </xf>
    <xf numFmtId="0" fontId="15" fillId="9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18" fillId="0" borderId="1" xfId="0" applyNumberFormat="1" applyFont="1" applyFill="1" applyBorder="1" applyAlignment="1">
      <alignment horizontal="left" vertical="top" wrapText="1"/>
    </xf>
    <xf numFmtId="166" fontId="15" fillId="0" borderId="1" xfId="0" applyNumberFormat="1" applyFont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7" fontId="22" fillId="0" borderId="1" xfId="0" applyNumberFormat="1" applyFont="1" applyFill="1" applyBorder="1" applyAlignment="1">
      <alignment horizontal="right" vertical="top" wrapText="1"/>
    </xf>
    <xf numFmtId="168" fontId="7" fillId="4" borderId="1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top" wrapText="1"/>
    </xf>
    <xf numFmtId="4" fontId="14" fillId="3" borderId="1" xfId="0" applyNumberFormat="1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vertical="top" wrapText="1"/>
    </xf>
    <xf numFmtId="0" fontId="2" fillId="11" borderId="0" xfId="0" applyFont="1" applyFill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5" fillId="2" borderId="1" xfId="0" applyFont="1" applyFill="1" applyBorder="1" applyAlignment="1">
      <alignment vertical="top" wrapText="1"/>
    </xf>
    <xf numFmtId="167" fontId="7" fillId="2" borderId="1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2" borderId="5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17" fillId="2" borderId="6" xfId="0" applyNumberFormat="1" applyFont="1" applyFill="1" applyBorder="1" applyAlignment="1">
      <alignment vertical="top" wrapText="1"/>
    </xf>
    <xf numFmtId="49" fontId="17" fillId="2" borderId="5" xfId="0" applyNumberFormat="1" applyFont="1" applyFill="1" applyBorder="1" applyAlignment="1">
      <alignment vertical="top" wrapText="1"/>
    </xf>
    <xf numFmtId="49" fontId="17" fillId="2" borderId="4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168" fontId="7" fillId="2" borderId="1" xfId="0" applyNumberFormat="1" applyFont="1" applyFill="1" applyBorder="1" applyAlignment="1">
      <alignment horizontal="right"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49" fontId="7" fillId="2" borderId="4" xfId="0" quotePrefix="1" applyNumberFormat="1" applyFont="1" applyFill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right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vertical="center" wrapText="1"/>
    </xf>
    <xf numFmtId="49" fontId="10" fillId="2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Alignment="1">
      <alignment horizontal="center" vertical="top" wrapText="1"/>
    </xf>
    <xf numFmtId="164" fontId="15" fillId="2" borderId="4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7" fontId="17" fillId="2" borderId="1" xfId="0" applyNumberFormat="1" applyFont="1" applyFill="1" applyBorder="1" applyAlignment="1">
      <alignment horizontal="righ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14" fillId="2" borderId="7" xfId="0" applyFont="1" applyFill="1" applyBorder="1" applyAlignment="1">
      <alignment wrapText="1"/>
    </xf>
    <xf numFmtId="0" fontId="15" fillId="2" borderId="1" xfId="0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10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horizontal="right" vertical="top" wrapText="1"/>
    </xf>
    <xf numFmtId="164" fontId="14" fillId="0" borderId="7" xfId="0" applyNumberFormat="1" applyFont="1" applyFill="1" applyBorder="1" applyAlignment="1">
      <alignment horizontal="right" vertical="top" wrapText="1"/>
    </xf>
    <xf numFmtId="164" fontId="7" fillId="2" borderId="7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15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15" fillId="0" borderId="12" xfId="0" applyNumberFormat="1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center" vertical="top" wrapText="1"/>
    </xf>
    <xf numFmtId="49" fontId="15" fillId="0" borderId="14" xfId="0" applyNumberFormat="1" applyFont="1" applyFill="1" applyBorder="1" applyAlignment="1">
      <alignment horizontal="center" vertical="top" wrapText="1"/>
    </xf>
    <xf numFmtId="49" fontId="15" fillId="0" borderId="10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5" fillId="2" borderId="9" xfId="0" applyNumberFormat="1" applyFont="1" applyFill="1" applyBorder="1" applyAlignment="1">
      <alignment horizontal="center" vertical="top" wrapText="1"/>
    </xf>
    <xf numFmtId="49" fontId="15" fillId="2" borderId="10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3" borderId="0" xfId="0" applyFont="1" applyFill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6" fontId="14" fillId="2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24" fillId="2" borderId="0" xfId="0" applyFont="1" applyFill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4" fillId="0" borderId="7" xfId="0" applyFont="1" applyBorder="1" applyAlignment="1">
      <alignment vertical="top" wrapText="1"/>
    </xf>
    <xf numFmtId="0" fontId="14" fillId="2" borderId="7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4" fontId="24" fillId="2" borderId="1" xfId="0" applyNumberFormat="1" applyFont="1" applyFill="1" applyBorder="1" applyAlignment="1">
      <alignment horizontal="right" vertical="top" wrapText="1"/>
    </xf>
    <xf numFmtId="166" fontId="22" fillId="2" borderId="1" xfId="0" applyNumberFormat="1" applyFont="1" applyFill="1" applyBorder="1" applyAlignment="1">
      <alignment horizontal="right" vertical="top" wrapText="1"/>
    </xf>
    <xf numFmtId="0" fontId="14" fillId="2" borderId="0" xfId="0" applyFont="1" applyFill="1" applyAlignment="1">
      <alignment vertical="top" wrapText="1"/>
    </xf>
    <xf numFmtId="4" fontId="14" fillId="2" borderId="1" xfId="0" applyNumberFormat="1" applyFont="1" applyFill="1" applyBorder="1" applyAlignment="1">
      <alignment vertical="top" wrapText="1"/>
    </xf>
    <xf numFmtId="167" fontId="22" fillId="2" borderId="1" xfId="0" applyNumberFormat="1" applyFont="1" applyFill="1" applyBorder="1" applyAlignment="1">
      <alignment horizontal="right" vertical="top" wrapText="1"/>
    </xf>
    <xf numFmtId="168" fontId="22" fillId="2" borderId="1" xfId="0" applyNumberFormat="1" applyFont="1" applyFill="1" applyBorder="1" applyAlignment="1">
      <alignment horizontal="right" vertical="top" wrapText="1"/>
    </xf>
    <xf numFmtId="49" fontId="15" fillId="2" borderId="12" xfId="0" applyNumberFormat="1" applyFont="1" applyFill="1" applyBorder="1" applyAlignment="1">
      <alignment horizontal="center" vertical="top" wrapText="1"/>
    </xf>
    <xf numFmtId="0" fontId="15" fillId="2" borderId="12" xfId="0" applyFont="1" applyFill="1" applyBorder="1" applyAlignment="1">
      <alignment horizontal="center" vertical="top" wrapText="1"/>
    </xf>
    <xf numFmtId="49" fontId="15" fillId="2" borderId="14" xfId="0" applyNumberFormat="1" applyFont="1" applyFill="1" applyBorder="1" applyAlignment="1">
      <alignment horizontal="center" vertical="top" wrapText="1"/>
    </xf>
    <xf numFmtId="2" fontId="7" fillId="2" borderId="1" xfId="0" applyNumberFormat="1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vertical="top" wrapText="1"/>
    </xf>
    <xf numFmtId="166" fontId="2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 applyAlignment="1">
      <alignment vertical="top" wrapText="1"/>
    </xf>
    <xf numFmtId="165" fontId="2" fillId="2" borderId="0" xfId="0" applyNumberFormat="1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3" xfId="0" quotePrefix="1" applyFont="1" applyFill="1" applyBorder="1" applyAlignment="1">
      <alignment horizontal="left" vertical="top" wrapText="1"/>
    </xf>
    <xf numFmtId="0" fontId="14" fillId="2" borderId="7" xfId="0" quotePrefix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7" xfId="0" applyNumberFormat="1" applyFont="1" applyFill="1" applyBorder="1" applyAlignment="1">
      <alignment horizontal="center" vertical="top" wrapText="1"/>
    </xf>
    <xf numFmtId="49" fontId="14" fillId="2" borderId="8" xfId="0" applyNumberFormat="1" applyFont="1" applyFill="1" applyBorder="1" applyAlignment="1">
      <alignment horizontal="center"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49" fontId="14" fillId="2" borderId="10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9" xfId="0" applyNumberFormat="1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0" fillId="0" borderId="0" xfId="0" applyNumberFormat="1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2" borderId="0" xfId="0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166" fontId="7" fillId="0" borderId="2" xfId="0" applyNumberFormat="1" applyFont="1" applyFill="1" applyBorder="1" applyAlignment="1">
      <alignment horizontal="left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3" xfId="0" applyBorder="1"/>
    <xf numFmtId="0" fontId="0" fillId="0" borderId="7" xfId="0" applyBorder="1"/>
    <xf numFmtId="166" fontId="7" fillId="0" borderId="2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49" fontId="21" fillId="0" borderId="0" xfId="0" applyNumberFormat="1" applyFont="1" applyFill="1" applyAlignment="1">
      <alignment horizontal="center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8"/>
  <sheetViews>
    <sheetView tabSelected="1" view="pageBreakPreview" zoomScale="63" zoomScaleNormal="85" zoomScaleSheetLayoutView="63" workbookViewId="0">
      <selection activeCell="N1" sqref="N1:R1"/>
    </sheetView>
  </sheetViews>
  <sheetFormatPr defaultColWidth="9.140625" defaultRowHeight="15.75"/>
  <cols>
    <col min="1" max="1" width="7.5703125" style="12" customWidth="1"/>
    <col min="2" max="2" width="20" style="12" customWidth="1"/>
    <col min="3" max="3" width="23.140625" style="9" customWidth="1"/>
    <col min="4" max="4" width="19.28515625" style="9" customWidth="1"/>
    <col min="5" max="6" width="9.140625" style="9"/>
    <col min="7" max="7" width="4.5703125" style="9" customWidth="1"/>
    <col min="8" max="8" width="3" style="9" customWidth="1"/>
    <col min="9" max="9" width="14.140625" style="9" customWidth="1"/>
    <col min="10" max="10" width="7.5703125" style="9" customWidth="1"/>
    <col min="11" max="12" width="21.140625" style="9" customWidth="1"/>
    <col min="13" max="13" width="21.85546875" style="9" customWidth="1"/>
    <col min="14" max="14" width="20.28515625" style="277" customWidth="1"/>
    <col min="15" max="15" width="21.5703125" style="40" customWidth="1"/>
    <col min="16" max="16" width="21.42578125" style="56" customWidth="1"/>
    <col min="17" max="17" width="22.7109375" style="9" customWidth="1"/>
    <col min="18" max="18" width="21.140625" style="9" customWidth="1"/>
    <col min="19" max="19" width="35.85546875" style="9" customWidth="1"/>
    <col min="20" max="21" width="9.140625" style="9"/>
    <col min="22" max="22" width="10.42578125" style="9" bestFit="1" customWidth="1"/>
    <col min="23" max="16384" width="9.140625" style="9"/>
  </cols>
  <sheetData>
    <row r="1" spans="1:22" ht="80.25" customHeight="1">
      <c r="A1" s="58"/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09" t="s">
        <v>354</v>
      </c>
      <c r="O1" s="509"/>
      <c r="P1" s="509"/>
      <c r="Q1" s="509"/>
      <c r="R1" s="509"/>
    </row>
    <row r="2" spans="1:22" ht="87.75" customHeight="1">
      <c r="A2" s="58"/>
      <c r="B2" s="58"/>
      <c r="C2" s="59"/>
      <c r="D2" s="59"/>
      <c r="E2" s="59"/>
      <c r="F2" s="510"/>
      <c r="G2" s="511"/>
      <c r="H2" s="511"/>
      <c r="I2" s="59"/>
      <c r="J2" s="59"/>
      <c r="K2" s="59"/>
      <c r="L2" s="60"/>
      <c r="M2" s="60"/>
      <c r="N2" s="516" t="s">
        <v>293</v>
      </c>
      <c r="O2" s="516"/>
      <c r="P2" s="516"/>
      <c r="Q2" s="516"/>
      <c r="R2" s="516"/>
      <c r="S2" s="18"/>
    </row>
    <row r="3" spans="1:22" ht="53.25" customHeight="1">
      <c r="A3" s="512" t="s">
        <v>194</v>
      </c>
      <c r="B3" s="512"/>
      <c r="C3" s="512"/>
      <c r="D3" s="512"/>
      <c r="E3" s="512"/>
      <c r="F3" s="512"/>
      <c r="G3" s="512"/>
      <c r="H3" s="512"/>
      <c r="I3" s="512"/>
      <c r="J3" s="512"/>
      <c r="K3" s="512"/>
      <c r="L3" s="512"/>
      <c r="M3" s="512"/>
      <c r="N3" s="512"/>
      <c r="O3" s="512"/>
      <c r="P3" s="512"/>
      <c r="Q3" s="512"/>
      <c r="R3" s="61"/>
    </row>
    <row r="4" spans="1:22">
      <c r="A4" s="58"/>
      <c r="B4" s="58"/>
      <c r="C4" s="59"/>
      <c r="D4" s="59"/>
      <c r="E4" s="59"/>
      <c r="F4" s="62"/>
      <c r="G4" s="63" t="s">
        <v>29</v>
      </c>
      <c r="H4" s="62">
        <v>1</v>
      </c>
      <c r="I4" s="62"/>
      <c r="J4" s="59"/>
      <c r="K4" s="59"/>
      <c r="L4" s="59"/>
      <c r="M4" s="59"/>
      <c r="N4" s="132"/>
      <c r="O4" s="59"/>
      <c r="P4" s="59"/>
      <c r="Q4" s="59"/>
      <c r="R4" s="59"/>
    </row>
    <row r="5" spans="1:22" ht="18" customHeight="1">
      <c r="A5" s="518" t="s">
        <v>3</v>
      </c>
      <c r="B5" s="521" t="s">
        <v>203</v>
      </c>
      <c r="C5" s="519" t="s">
        <v>281</v>
      </c>
      <c r="D5" s="517" t="s">
        <v>229</v>
      </c>
      <c r="E5" s="517" t="s">
        <v>4</v>
      </c>
      <c r="F5" s="517"/>
      <c r="G5" s="517"/>
      <c r="H5" s="517"/>
      <c r="I5" s="517"/>
      <c r="J5" s="517"/>
      <c r="K5" s="513" t="s">
        <v>224</v>
      </c>
      <c r="L5" s="514"/>
      <c r="M5" s="514"/>
      <c r="N5" s="514"/>
      <c r="O5" s="514"/>
      <c r="P5" s="514"/>
      <c r="Q5" s="515"/>
      <c r="R5" s="517" t="s">
        <v>5</v>
      </c>
      <c r="V5" s="9">
        <v>12000000</v>
      </c>
    </row>
    <row r="6" spans="1:22" ht="87.75" customHeight="1">
      <c r="A6" s="518"/>
      <c r="B6" s="522"/>
      <c r="C6" s="520"/>
      <c r="D6" s="517"/>
      <c r="E6" s="64" t="s">
        <v>6</v>
      </c>
      <c r="F6" s="64" t="s">
        <v>7</v>
      </c>
      <c r="G6" s="513" t="s">
        <v>8</v>
      </c>
      <c r="H6" s="514"/>
      <c r="I6" s="515"/>
      <c r="J6" s="64" t="s">
        <v>9</v>
      </c>
      <c r="K6" s="64" t="s">
        <v>10</v>
      </c>
      <c r="L6" s="64" t="s">
        <v>11</v>
      </c>
      <c r="M6" s="64" t="s">
        <v>12</v>
      </c>
      <c r="N6" s="68" t="s">
        <v>159</v>
      </c>
      <c r="O6" s="64" t="s">
        <v>242</v>
      </c>
      <c r="P6" s="64" t="s">
        <v>290</v>
      </c>
      <c r="Q6" s="64" t="s">
        <v>289</v>
      </c>
      <c r="R6" s="517"/>
      <c r="V6" s="9">
        <v>340000</v>
      </c>
    </row>
    <row r="7" spans="1:22" ht="49.5" customHeight="1">
      <c r="A7" s="495"/>
      <c r="B7" s="502" t="s">
        <v>76</v>
      </c>
      <c r="C7" s="496" t="s">
        <v>177</v>
      </c>
      <c r="D7" s="65" t="s">
        <v>141</v>
      </c>
      <c r="E7" s="66" t="s">
        <v>48</v>
      </c>
      <c r="F7" s="66" t="s">
        <v>48</v>
      </c>
      <c r="G7" s="66" t="s">
        <v>48</v>
      </c>
      <c r="H7" s="66" t="s">
        <v>48</v>
      </c>
      <c r="I7" s="66" t="s">
        <v>48</v>
      </c>
      <c r="J7" s="66" t="s">
        <v>48</v>
      </c>
      <c r="K7" s="67">
        <f t="shared" ref="K7:P7" si="0">SUM(K9:K11)</f>
        <v>65340733.63000001</v>
      </c>
      <c r="L7" s="67">
        <f t="shared" si="0"/>
        <v>59975697.280000001</v>
      </c>
      <c r="M7" s="67">
        <f t="shared" si="0"/>
        <v>59147703.5</v>
      </c>
      <c r="N7" s="67">
        <f t="shared" si="0"/>
        <v>82889958.340000004</v>
      </c>
      <c r="O7" s="67">
        <f t="shared" si="0"/>
        <v>56661609.940000005</v>
      </c>
      <c r="P7" s="67">
        <f t="shared" si="0"/>
        <v>56661609.940000005</v>
      </c>
      <c r="Q7" s="67">
        <f>SUM(K7:P7)</f>
        <v>380677312.63000005</v>
      </c>
      <c r="R7" s="68"/>
      <c r="V7" s="9">
        <v>320000</v>
      </c>
    </row>
    <row r="8" spans="1:22" ht="20.25" customHeight="1">
      <c r="A8" s="485"/>
      <c r="B8" s="477"/>
      <c r="C8" s="485"/>
      <c r="D8" s="69" t="s">
        <v>25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67">
        <f t="shared" ref="Q8:Q14" si="1">SUM(K8:O8)</f>
        <v>0</v>
      </c>
      <c r="R8" s="68"/>
      <c r="V8" s="9">
        <v>430000</v>
      </c>
    </row>
    <row r="9" spans="1:22" ht="65.25" customHeight="1">
      <c r="A9" s="485"/>
      <c r="B9" s="477"/>
      <c r="C9" s="485"/>
      <c r="D9" s="69" t="s">
        <v>191</v>
      </c>
      <c r="E9" s="70" t="s">
        <v>48</v>
      </c>
      <c r="F9" s="71" t="s">
        <v>48</v>
      </c>
      <c r="G9" s="71" t="s">
        <v>48</v>
      </c>
      <c r="H9" s="71" t="s">
        <v>48</v>
      </c>
      <c r="I9" s="71" t="s">
        <v>48</v>
      </c>
      <c r="J9" s="71" t="s">
        <v>48</v>
      </c>
      <c r="K9" s="72">
        <v>6181600</v>
      </c>
      <c r="L9" s="72">
        <f>L14</f>
        <v>3000</v>
      </c>
      <c r="M9" s="72">
        <f>2500-300+M114</f>
        <v>37560</v>
      </c>
      <c r="N9" s="72">
        <f t="shared" ref="N9:P11" si="2">N14+N58+N114</f>
        <v>2594780</v>
      </c>
      <c r="O9" s="72">
        <f t="shared" si="2"/>
        <v>0</v>
      </c>
      <c r="P9" s="72">
        <f t="shared" si="2"/>
        <v>0</v>
      </c>
      <c r="Q9" s="67">
        <f t="shared" si="1"/>
        <v>8816940</v>
      </c>
      <c r="R9" s="68"/>
    </row>
    <row r="10" spans="1:22" ht="54" customHeight="1">
      <c r="A10" s="485"/>
      <c r="B10" s="477"/>
      <c r="C10" s="485"/>
      <c r="D10" s="69" t="s">
        <v>192</v>
      </c>
      <c r="E10" s="70" t="s">
        <v>48</v>
      </c>
      <c r="F10" s="71" t="s">
        <v>48</v>
      </c>
      <c r="G10" s="71" t="s">
        <v>48</v>
      </c>
      <c r="H10" s="71" t="s">
        <v>48</v>
      </c>
      <c r="I10" s="71" t="s">
        <v>48</v>
      </c>
      <c r="J10" s="71" t="s">
        <v>48</v>
      </c>
      <c r="K10" s="72">
        <f t="shared" ref="K10:M11" si="3">K15+K59+K115</f>
        <v>4022906.0900000003</v>
      </c>
      <c r="L10" s="72">
        <f t="shared" si="3"/>
        <v>3072008.16</v>
      </c>
      <c r="M10" s="72">
        <f t="shared" si="3"/>
        <v>2290892.2999999998</v>
      </c>
      <c r="N10" s="72">
        <f t="shared" si="2"/>
        <v>20200582.75</v>
      </c>
      <c r="O10" s="72">
        <f t="shared" si="2"/>
        <v>0</v>
      </c>
      <c r="P10" s="72">
        <f t="shared" si="2"/>
        <v>0</v>
      </c>
      <c r="Q10" s="67">
        <f t="shared" si="1"/>
        <v>29586389.300000001</v>
      </c>
      <c r="R10" s="68"/>
      <c r="V10" s="9">
        <v>400000</v>
      </c>
    </row>
    <row r="11" spans="1:22" ht="63" customHeight="1">
      <c r="A11" s="486"/>
      <c r="B11" s="478"/>
      <c r="C11" s="486"/>
      <c r="D11" s="69" t="s">
        <v>193</v>
      </c>
      <c r="E11" s="70" t="s">
        <v>48</v>
      </c>
      <c r="F11" s="71" t="s">
        <v>48</v>
      </c>
      <c r="G11" s="71" t="s">
        <v>48</v>
      </c>
      <c r="H11" s="71" t="s">
        <v>48</v>
      </c>
      <c r="I11" s="71" t="s">
        <v>48</v>
      </c>
      <c r="J11" s="71" t="s">
        <v>48</v>
      </c>
      <c r="K11" s="72">
        <f t="shared" si="3"/>
        <v>55136227.540000007</v>
      </c>
      <c r="L11" s="72">
        <f t="shared" si="3"/>
        <v>56900689.119999997</v>
      </c>
      <c r="M11" s="72">
        <f t="shared" si="3"/>
        <v>56819251.200000003</v>
      </c>
      <c r="N11" s="72">
        <f t="shared" si="2"/>
        <v>60094595.590000004</v>
      </c>
      <c r="O11" s="72">
        <f t="shared" si="2"/>
        <v>56661609.940000005</v>
      </c>
      <c r="P11" s="72">
        <f t="shared" si="2"/>
        <v>56661609.940000005</v>
      </c>
      <c r="Q11" s="67">
        <f>SUM(K11:P11)</f>
        <v>342273983.33000004</v>
      </c>
      <c r="R11" s="68"/>
      <c r="S11" s="46"/>
      <c r="V11" s="9">
        <f>SUM(V5:V10)</f>
        <v>13490000</v>
      </c>
    </row>
    <row r="12" spans="1:22" ht="48.75" customHeight="1">
      <c r="A12" s="458" t="s">
        <v>13</v>
      </c>
      <c r="B12" s="476" t="s">
        <v>49</v>
      </c>
      <c r="C12" s="484" t="s">
        <v>142</v>
      </c>
      <c r="D12" s="69" t="s">
        <v>141</v>
      </c>
      <c r="E12" s="70"/>
      <c r="F12" s="70"/>
      <c r="G12" s="70"/>
      <c r="H12" s="70"/>
      <c r="I12" s="70"/>
      <c r="J12" s="70"/>
      <c r="K12" s="72">
        <f t="shared" ref="K12:P12" si="4">K46+K55</f>
        <v>9957712.459999999</v>
      </c>
      <c r="L12" s="72">
        <f t="shared" si="4"/>
        <v>10484619.77</v>
      </c>
      <c r="M12" s="72">
        <f t="shared" si="4"/>
        <v>10359883.650000002</v>
      </c>
      <c r="N12" s="72">
        <f>N46+N55</f>
        <v>12794538.189999999</v>
      </c>
      <c r="O12" s="72">
        <f t="shared" si="4"/>
        <v>10486041.66</v>
      </c>
      <c r="P12" s="72">
        <f t="shared" si="4"/>
        <v>10486041.66</v>
      </c>
      <c r="Q12" s="67">
        <f>SUM(K12:P12)</f>
        <v>64568837.390000001</v>
      </c>
      <c r="R12" s="68"/>
    </row>
    <row r="13" spans="1:22" ht="20.25" customHeight="1">
      <c r="A13" s="485"/>
      <c r="B13" s="477"/>
      <c r="C13" s="485"/>
      <c r="D13" s="69" t="s">
        <v>25</v>
      </c>
      <c r="E13" s="70"/>
      <c r="F13" s="70"/>
      <c r="G13" s="70"/>
      <c r="H13" s="70"/>
      <c r="I13" s="70"/>
      <c r="J13" s="70"/>
      <c r="K13" s="72"/>
      <c r="L13" s="70"/>
      <c r="M13" s="70"/>
      <c r="N13" s="70"/>
      <c r="O13" s="70"/>
      <c r="P13" s="70"/>
      <c r="Q13" s="67">
        <f t="shared" si="1"/>
        <v>0</v>
      </c>
      <c r="R13" s="68"/>
    </row>
    <row r="14" spans="1:22" ht="51.75" customHeight="1">
      <c r="A14" s="485"/>
      <c r="B14" s="477"/>
      <c r="C14" s="485"/>
      <c r="D14" s="69" t="s">
        <v>191</v>
      </c>
      <c r="E14" s="70" t="s">
        <v>48</v>
      </c>
      <c r="F14" s="71" t="s">
        <v>48</v>
      </c>
      <c r="G14" s="71" t="s">
        <v>48</v>
      </c>
      <c r="H14" s="71" t="s">
        <v>48</v>
      </c>
      <c r="I14" s="71" t="s">
        <v>48</v>
      </c>
      <c r="J14" s="71" t="s">
        <v>48</v>
      </c>
      <c r="K14" s="72">
        <v>0</v>
      </c>
      <c r="L14" s="72">
        <f>L36</f>
        <v>3000</v>
      </c>
      <c r="M14" s="72">
        <f>M36</f>
        <v>2200</v>
      </c>
      <c r="N14" s="72">
        <f>N37</f>
        <v>482300</v>
      </c>
      <c r="O14" s="72">
        <f>O36</f>
        <v>0</v>
      </c>
      <c r="P14" s="72">
        <f>P36</f>
        <v>0</v>
      </c>
      <c r="Q14" s="67">
        <f t="shared" si="1"/>
        <v>487500</v>
      </c>
      <c r="R14" s="68"/>
    </row>
    <row r="15" spans="1:22" ht="55.5" customHeight="1">
      <c r="A15" s="485"/>
      <c r="B15" s="477"/>
      <c r="C15" s="485"/>
      <c r="D15" s="69" t="s">
        <v>192</v>
      </c>
      <c r="E15" s="70" t="s">
        <v>48</v>
      </c>
      <c r="F15" s="70" t="s">
        <v>48</v>
      </c>
      <c r="G15" s="70" t="s">
        <v>48</v>
      </c>
      <c r="H15" s="70" t="s">
        <v>48</v>
      </c>
      <c r="I15" s="70" t="s">
        <v>48</v>
      </c>
      <c r="J15" s="70" t="s">
        <v>48</v>
      </c>
      <c r="K15" s="72">
        <f>303924-6800+17407.21</f>
        <v>314531.21000000002</v>
      </c>
      <c r="L15" s="72">
        <f>L24+L49+L34+L25</f>
        <v>329979.43</v>
      </c>
      <c r="M15" s="72">
        <f>M34+M24+M25+M49+M28+M29</f>
        <v>121929.48000000001</v>
      </c>
      <c r="N15" s="72">
        <f>N34+N24+N25+N49+N28+N29+N35+N43+N44+N53+N30+N31+N54</f>
        <v>1995508.51</v>
      </c>
      <c r="O15" s="72">
        <f>O34+O24+O25+O49+O28+O29</f>
        <v>0</v>
      </c>
      <c r="P15" s="72">
        <f>P34+P24+P25+P49+P28+P29</f>
        <v>0</v>
      </c>
      <c r="Q15" s="67">
        <f>SUM(K15:O15)</f>
        <v>2761948.63</v>
      </c>
      <c r="R15" s="68"/>
    </row>
    <row r="16" spans="1:22" ht="64.5" customHeight="1">
      <c r="A16" s="486"/>
      <c r="B16" s="478"/>
      <c r="C16" s="486"/>
      <c r="D16" s="69" t="s">
        <v>193</v>
      </c>
      <c r="E16" s="70" t="s">
        <v>48</v>
      </c>
      <c r="F16" s="70" t="s">
        <v>48</v>
      </c>
      <c r="G16" s="70" t="s">
        <v>48</v>
      </c>
      <c r="H16" s="70" t="s">
        <v>48</v>
      </c>
      <c r="I16" s="70" t="s">
        <v>48</v>
      </c>
      <c r="J16" s="70" t="s">
        <v>48</v>
      </c>
      <c r="K16" s="72">
        <f>K12-K15</f>
        <v>9643181.2499999981</v>
      </c>
      <c r="L16" s="72">
        <f>L12-L15-L14</f>
        <v>10151640.34</v>
      </c>
      <c r="M16" s="72">
        <f>M12-M15-M14</f>
        <v>10235754.170000002</v>
      </c>
      <c r="N16" s="72">
        <f>N12-N15-N14</f>
        <v>10316729.68</v>
      </c>
      <c r="O16" s="72">
        <f t="shared" ref="O16:P16" si="5">O12-O15-O14</f>
        <v>10486041.66</v>
      </c>
      <c r="P16" s="72">
        <f t="shared" si="5"/>
        <v>10486041.66</v>
      </c>
      <c r="Q16" s="67">
        <f>SUM(K16:P16)</f>
        <v>61319388.75999999</v>
      </c>
      <c r="R16" s="68"/>
    </row>
    <row r="17" spans="1:19" ht="18.75" customHeight="1">
      <c r="A17" s="73" t="s">
        <v>13</v>
      </c>
      <c r="B17" s="74"/>
      <c r="C17" s="468" t="s">
        <v>68</v>
      </c>
      <c r="D17" s="469"/>
      <c r="E17" s="469"/>
      <c r="F17" s="469"/>
      <c r="G17" s="469"/>
      <c r="H17" s="469"/>
      <c r="I17" s="469"/>
      <c r="J17" s="469"/>
      <c r="K17" s="469"/>
      <c r="L17" s="469"/>
      <c r="M17" s="469"/>
      <c r="N17" s="469"/>
      <c r="O17" s="469"/>
      <c r="P17" s="469"/>
      <c r="Q17" s="470"/>
      <c r="R17" s="68"/>
    </row>
    <row r="18" spans="1:19" ht="29.25" customHeight="1">
      <c r="A18" s="108" t="s">
        <v>30</v>
      </c>
      <c r="B18" s="312"/>
      <c r="C18" s="481" t="s">
        <v>119</v>
      </c>
      <c r="D18" s="69" t="s">
        <v>56</v>
      </c>
      <c r="E18" s="76" t="s">
        <v>74</v>
      </c>
      <c r="F18" s="76" t="s">
        <v>27</v>
      </c>
      <c r="G18" s="77" t="s">
        <v>77</v>
      </c>
      <c r="H18" s="78">
        <v>1</v>
      </c>
      <c r="I18" s="111" t="s">
        <v>244</v>
      </c>
      <c r="J18" s="80" t="s">
        <v>79</v>
      </c>
      <c r="K18" s="81">
        <v>4736588.21</v>
      </c>
      <c r="L18" s="81">
        <f>4807782.33-88</f>
        <v>4807694.33</v>
      </c>
      <c r="M18" s="81">
        <f>4922469.22</f>
        <v>4922469.22</v>
      </c>
      <c r="N18" s="81">
        <f>4953804.01-148890</f>
        <v>4804914.01</v>
      </c>
      <c r="O18" s="81">
        <f>N18+148890</f>
        <v>4953804.01</v>
      </c>
      <c r="P18" s="81">
        <f>O18</f>
        <v>4953804.01</v>
      </c>
      <c r="Q18" s="81">
        <f t="shared" ref="Q18:Q23" si="6">SUM(K18:P18)</f>
        <v>29179273.789999992</v>
      </c>
      <c r="R18" s="462" t="s">
        <v>82</v>
      </c>
    </row>
    <row r="19" spans="1:19" s="44" customFormat="1" ht="29.25" customHeight="1">
      <c r="A19" s="134"/>
      <c r="B19" s="313"/>
      <c r="C19" s="482"/>
      <c r="D19" s="69" t="s">
        <v>56</v>
      </c>
      <c r="E19" s="83" t="s">
        <v>74</v>
      </c>
      <c r="F19" s="83" t="s">
        <v>27</v>
      </c>
      <c r="G19" s="84" t="s">
        <v>77</v>
      </c>
      <c r="H19" s="78">
        <v>1</v>
      </c>
      <c r="I19" s="111" t="s">
        <v>244</v>
      </c>
      <c r="J19" s="85" t="s">
        <v>278</v>
      </c>
      <c r="K19" s="81">
        <v>1430437.95</v>
      </c>
      <c r="L19" s="81">
        <v>1451923.68</v>
      </c>
      <c r="M19" s="81">
        <f>1486585.71</f>
        <v>1486585.71</v>
      </c>
      <c r="N19" s="81">
        <f>1496048.81-44964.78+121665.19</f>
        <v>1572749.22</v>
      </c>
      <c r="O19" s="81">
        <v>1496048.81</v>
      </c>
      <c r="P19" s="81">
        <v>1496048.81</v>
      </c>
      <c r="Q19" s="81">
        <f t="shared" si="6"/>
        <v>8933794.1799999997</v>
      </c>
      <c r="R19" s="508"/>
    </row>
    <row r="20" spans="1:19" s="24" customFormat="1" ht="29.25" customHeight="1">
      <c r="A20" s="134"/>
      <c r="B20" s="313"/>
      <c r="C20" s="482"/>
      <c r="D20" s="69" t="s">
        <v>56</v>
      </c>
      <c r="E20" s="83" t="s">
        <v>74</v>
      </c>
      <c r="F20" s="83" t="s">
        <v>27</v>
      </c>
      <c r="G20" s="84" t="s">
        <v>77</v>
      </c>
      <c r="H20" s="78">
        <v>1</v>
      </c>
      <c r="I20" s="93" t="s">
        <v>244</v>
      </c>
      <c r="J20" s="83" t="s">
        <v>128</v>
      </c>
      <c r="K20" s="230"/>
      <c r="L20" s="230">
        <v>1560</v>
      </c>
      <c r="M20" s="230">
        <v>2236.1999999999998</v>
      </c>
      <c r="N20" s="230">
        <f>1560-195-802.94</f>
        <v>562.05999999999995</v>
      </c>
      <c r="O20" s="230">
        <v>1560</v>
      </c>
      <c r="P20" s="230">
        <v>1560</v>
      </c>
      <c r="Q20" s="230">
        <f t="shared" si="6"/>
        <v>7478.26</v>
      </c>
      <c r="R20" s="508"/>
    </row>
    <row r="21" spans="1:19" ht="27" customHeight="1">
      <c r="A21" s="134"/>
      <c r="B21" s="313"/>
      <c r="C21" s="482"/>
      <c r="D21" s="69" t="s">
        <v>56</v>
      </c>
      <c r="E21" s="83" t="s">
        <v>74</v>
      </c>
      <c r="F21" s="83" t="s">
        <v>27</v>
      </c>
      <c r="G21" s="84" t="s">
        <v>77</v>
      </c>
      <c r="H21" s="78">
        <v>1</v>
      </c>
      <c r="I21" s="93" t="s">
        <v>244</v>
      </c>
      <c r="J21" s="83" t="s">
        <v>28</v>
      </c>
      <c r="K21" s="230">
        <f>1019485-3.2+1687.2</f>
        <v>1021169</v>
      </c>
      <c r="L21" s="230">
        <f>1027352.04-3300-6800</f>
        <v>1017252.04</v>
      </c>
      <c r="M21" s="230">
        <v>1157926.8</v>
      </c>
      <c r="N21" s="230">
        <f>1008123+4300-41+802.94-9800</f>
        <v>1003384.94</v>
      </c>
      <c r="O21" s="230">
        <v>1012423</v>
      </c>
      <c r="P21" s="230">
        <f>O21</f>
        <v>1012423</v>
      </c>
      <c r="Q21" s="230">
        <f t="shared" si="6"/>
        <v>6224578.7799999993</v>
      </c>
      <c r="R21" s="508"/>
      <c r="S21" s="9" t="s">
        <v>200</v>
      </c>
    </row>
    <row r="22" spans="1:19" s="56" customFormat="1" ht="27" customHeight="1">
      <c r="A22" s="134"/>
      <c r="B22" s="313"/>
      <c r="C22" s="482"/>
      <c r="D22" s="69" t="s">
        <v>56</v>
      </c>
      <c r="E22" s="76" t="s">
        <v>74</v>
      </c>
      <c r="F22" s="83" t="s">
        <v>27</v>
      </c>
      <c r="G22" s="84" t="s">
        <v>77</v>
      </c>
      <c r="H22" s="78">
        <v>1</v>
      </c>
      <c r="I22" s="93" t="s">
        <v>244</v>
      </c>
      <c r="J22" s="83" t="s">
        <v>127</v>
      </c>
      <c r="K22" s="88">
        <v>150</v>
      </c>
      <c r="L22" s="88">
        <v>160</v>
      </c>
      <c r="M22" s="88">
        <v>160</v>
      </c>
      <c r="N22" s="441"/>
      <c r="O22" s="441"/>
      <c r="P22" s="441"/>
      <c r="Q22" s="81">
        <f t="shared" si="6"/>
        <v>470</v>
      </c>
      <c r="R22" s="508"/>
    </row>
    <row r="23" spans="1:19" ht="43.5" customHeight="1">
      <c r="A23" s="113"/>
      <c r="B23" s="314"/>
      <c r="C23" s="483"/>
      <c r="D23" s="69" t="s">
        <v>56</v>
      </c>
      <c r="E23" s="76" t="s">
        <v>74</v>
      </c>
      <c r="F23" s="83" t="s">
        <v>27</v>
      </c>
      <c r="G23" s="84" t="s">
        <v>77</v>
      </c>
      <c r="H23" s="78">
        <v>1</v>
      </c>
      <c r="I23" s="93" t="s">
        <v>244</v>
      </c>
      <c r="J23" s="435">
        <v>853</v>
      </c>
      <c r="K23" s="442"/>
      <c r="L23" s="442"/>
      <c r="M23" s="442"/>
      <c r="N23" s="88">
        <v>160</v>
      </c>
      <c r="O23" s="88">
        <v>160</v>
      </c>
      <c r="P23" s="88">
        <v>160</v>
      </c>
      <c r="Q23" s="81">
        <f t="shared" si="6"/>
        <v>480</v>
      </c>
      <c r="R23" s="463"/>
    </row>
    <row r="24" spans="1:19" ht="127.5" customHeight="1">
      <c r="A24" s="134"/>
      <c r="B24" s="313"/>
      <c r="C24" s="474" t="s">
        <v>138</v>
      </c>
      <c r="D24" s="69" t="s">
        <v>56</v>
      </c>
      <c r="E24" s="76" t="s">
        <v>74</v>
      </c>
      <c r="F24" s="83" t="s">
        <v>27</v>
      </c>
      <c r="G24" s="84" t="s">
        <v>77</v>
      </c>
      <c r="H24" s="78">
        <v>1</v>
      </c>
      <c r="I24" s="83" t="s">
        <v>252</v>
      </c>
      <c r="J24" s="85" t="s">
        <v>79</v>
      </c>
      <c r="K24" s="88">
        <v>129363.95</v>
      </c>
      <c r="L24" s="88">
        <f>87047.1+46225.91</f>
        <v>133273.01</v>
      </c>
      <c r="M24" s="88">
        <v>28042.02</v>
      </c>
      <c r="N24" s="88">
        <f>22404.8+10303.24</f>
        <v>32708.04</v>
      </c>
      <c r="O24" s="88"/>
      <c r="P24" s="88"/>
      <c r="Q24" s="81">
        <f>SUM(K24:O24)</f>
        <v>323387.02</v>
      </c>
      <c r="R24" s="320"/>
    </row>
    <row r="25" spans="1:19" s="44" customFormat="1" ht="92.25" customHeight="1">
      <c r="A25" s="134"/>
      <c r="B25" s="313"/>
      <c r="C25" s="475"/>
      <c r="D25" s="69" t="s">
        <v>56</v>
      </c>
      <c r="E25" s="76" t="s">
        <v>74</v>
      </c>
      <c r="F25" s="83" t="s">
        <v>27</v>
      </c>
      <c r="G25" s="84" t="s">
        <v>77</v>
      </c>
      <c r="H25" s="78">
        <v>1</v>
      </c>
      <c r="I25" s="83" t="s">
        <v>252</v>
      </c>
      <c r="J25" s="85" t="s">
        <v>278</v>
      </c>
      <c r="K25" s="88">
        <v>39067.919999999998</v>
      </c>
      <c r="L25" s="88">
        <f>26288.22+13960.23</f>
        <v>40248.449999999997</v>
      </c>
      <c r="M25" s="88">
        <v>8468.69</v>
      </c>
      <c r="N25" s="88">
        <f>6766.25+3111.58</f>
        <v>9877.83</v>
      </c>
      <c r="O25" s="88"/>
      <c r="P25" s="88"/>
      <c r="Q25" s="81">
        <f t="shared" ref="Q25:Q45" si="7">SUM(K25:O25)</f>
        <v>97662.89</v>
      </c>
      <c r="R25" s="320"/>
    </row>
    <row r="26" spans="1:19" ht="194.25" customHeight="1">
      <c r="A26" s="113"/>
      <c r="B26" s="314"/>
      <c r="C26" s="90" t="s">
        <v>139</v>
      </c>
      <c r="D26" s="91" t="s">
        <v>56</v>
      </c>
      <c r="E26" s="92" t="s">
        <v>74</v>
      </c>
      <c r="F26" s="93" t="s">
        <v>27</v>
      </c>
      <c r="G26" s="94" t="s">
        <v>77</v>
      </c>
      <c r="H26" s="95">
        <v>1</v>
      </c>
      <c r="I26" s="93" t="s">
        <v>253</v>
      </c>
      <c r="J26" s="438" t="s">
        <v>79</v>
      </c>
      <c r="K26" s="96">
        <v>1306.71</v>
      </c>
      <c r="L26" s="96">
        <f>1371.86+88</f>
        <v>1459.86</v>
      </c>
      <c r="M26" s="96">
        <v>138.61000000000001</v>
      </c>
      <c r="N26" s="96"/>
      <c r="O26" s="96"/>
      <c r="P26" s="96"/>
      <c r="Q26" s="81">
        <f t="shared" si="7"/>
        <v>2905.18</v>
      </c>
      <c r="R26" s="316"/>
    </row>
    <row r="27" spans="1:19" s="47" customFormat="1" ht="143.25" customHeight="1">
      <c r="A27" s="89"/>
      <c r="B27" s="89"/>
      <c r="C27" s="90" t="s">
        <v>139</v>
      </c>
      <c r="D27" s="91" t="s">
        <v>56</v>
      </c>
      <c r="E27" s="92" t="s">
        <v>74</v>
      </c>
      <c r="F27" s="93" t="s">
        <v>27</v>
      </c>
      <c r="G27" s="94" t="s">
        <v>77</v>
      </c>
      <c r="H27" s="95">
        <v>1</v>
      </c>
      <c r="I27" s="93" t="s">
        <v>253</v>
      </c>
      <c r="J27" s="438" t="s">
        <v>278</v>
      </c>
      <c r="K27" s="96">
        <v>394.63</v>
      </c>
      <c r="L27" s="96">
        <f>414.3+26.58</f>
        <v>440.88</v>
      </c>
      <c r="M27" s="96">
        <v>41.86</v>
      </c>
      <c r="N27" s="96"/>
      <c r="O27" s="96"/>
      <c r="P27" s="96"/>
      <c r="Q27" s="81">
        <f t="shared" ref="Q27" si="8">SUM(K27:O27)</f>
        <v>877.37</v>
      </c>
      <c r="R27" s="97"/>
    </row>
    <row r="28" spans="1:19" s="51" customFormat="1" ht="111" customHeight="1">
      <c r="A28" s="89"/>
      <c r="B28" s="82"/>
      <c r="C28" s="276" t="s">
        <v>140</v>
      </c>
      <c r="D28" s="91" t="s">
        <v>56</v>
      </c>
      <c r="E28" s="92" t="s">
        <v>74</v>
      </c>
      <c r="F28" s="93" t="s">
        <v>27</v>
      </c>
      <c r="G28" s="94" t="s">
        <v>77</v>
      </c>
      <c r="H28" s="95">
        <v>1</v>
      </c>
      <c r="I28" s="93" t="s">
        <v>259</v>
      </c>
      <c r="J28" s="438" t="s">
        <v>79</v>
      </c>
      <c r="K28" s="96"/>
      <c r="L28" s="96"/>
      <c r="M28" s="96">
        <v>22877.15</v>
      </c>
      <c r="N28" s="96">
        <f>21898.06+4335.22</f>
        <v>26233.280000000002</v>
      </c>
      <c r="O28" s="96"/>
      <c r="P28" s="96"/>
      <c r="Q28" s="96">
        <f>K28+L28+M28+N28+O28</f>
        <v>49110.430000000008</v>
      </c>
      <c r="R28" s="105"/>
    </row>
    <row r="29" spans="1:19" s="51" customFormat="1" ht="119.25" customHeight="1">
      <c r="A29" s="89"/>
      <c r="B29" s="82"/>
      <c r="C29" s="276" t="s">
        <v>140</v>
      </c>
      <c r="D29" s="91" t="s">
        <v>56</v>
      </c>
      <c r="E29" s="92" t="s">
        <v>74</v>
      </c>
      <c r="F29" s="93" t="s">
        <v>27</v>
      </c>
      <c r="G29" s="94" t="s">
        <v>77</v>
      </c>
      <c r="H29" s="95">
        <v>1</v>
      </c>
      <c r="I29" s="93" t="s">
        <v>259</v>
      </c>
      <c r="J29" s="438" t="s">
        <v>278</v>
      </c>
      <c r="K29" s="96"/>
      <c r="L29" s="96"/>
      <c r="M29" s="96">
        <v>6908.9</v>
      </c>
      <c r="N29" s="96">
        <f>6613.22+1309.23</f>
        <v>7922.4500000000007</v>
      </c>
      <c r="O29" s="96"/>
      <c r="P29" s="96"/>
      <c r="Q29" s="96">
        <f>K29+L29+M29+N29+O29</f>
        <v>14831.35</v>
      </c>
      <c r="R29" s="105"/>
    </row>
    <row r="30" spans="1:19" s="56" customFormat="1" ht="222.75" customHeight="1">
      <c r="A30" s="314"/>
      <c r="B30" s="313"/>
      <c r="C30" s="276" t="s">
        <v>341</v>
      </c>
      <c r="D30" s="91" t="s">
        <v>56</v>
      </c>
      <c r="E30" s="92" t="s">
        <v>74</v>
      </c>
      <c r="F30" s="93" t="s">
        <v>27</v>
      </c>
      <c r="G30" s="94" t="s">
        <v>77</v>
      </c>
      <c r="H30" s="95">
        <v>1</v>
      </c>
      <c r="I30" s="93" t="s">
        <v>338</v>
      </c>
      <c r="J30" s="438" t="s">
        <v>79</v>
      </c>
      <c r="K30" s="96"/>
      <c r="L30" s="96"/>
      <c r="M30" s="96"/>
      <c r="N30" s="96">
        <f>362250.63+96608.4+333902.19+98459.94</f>
        <v>891221.15999999992</v>
      </c>
      <c r="O30" s="96"/>
      <c r="P30" s="96"/>
      <c r="Q30" s="96">
        <f t="shared" ref="Q30:Q31" si="9">K30+L30+M30+N30+O30</f>
        <v>891221.15999999992</v>
      </c>
      <c r="R30" s="400"/>
    </row>
    <row r="31" spans="1:19" s="56" customFormat="1" ht="227.25" customHeight="1">
      <c r="A31" s="314"/>
      <c r="B31" s="313"/>
      <c r="C31" s="276" t="s">
        <v>341</v>
      </c>
      <c r="D31" s="91" t="s">
        <v>56</v>
      </c>
      <c r="E31" s="92" t="s">
        <v>74</v>
      </c>
      <c r="F31" s="93" t="s">
        <v>27</v>
      </c>
      <c r="G31" s="94" t="s">
        <v>77</v>
      </c>
      <c r="H31" s="95">
        <v>1</v>
      </c>
      <c r="I31" s="93" t="s">
        <v>338</v>
      </c>
      <c r="J31" s="438" t="s">
        <v>278</v>
      </c>
      <c r="K31" s="96"/>
      <c r="L31" s="96"/>
      <c r="M31" s="96"/>
      <c r="N31" s="96">
        <f>109399.69+29175.74+100838.46+29734.9</f>
        <v>269148.79000000004</v>
      </c>
      <c r="O31" s="96"/>
      <c r="P31" s="96"/>
      <c r="Q31" s="96">
        <f t="shared" si="9"/>
        <v>269148.79000000004</v>
      </c>
      <c r="R31" s="400"/>
    </row>
    <row r="32" spans="1:19" ht="137.25" customHeight="1">
      <c r="A32" s="107" t="s">
        <v>54</v>
      </c>
      <c r="B32" s="107"/>
      <c r="C32" s="282" t="s">
        <v>120</v>
      </c>
      <c r="D32" s="91" t="s">
        <v>56</v>
      </c>
      <c r="E32" s="438" t="s">
        <v>74</v>
      </c>
      <c r="F32" s="438" t="s">
        <v>27</v>
      </c>
      <c r="G32" s="74" t="s">
        <v>77</v>
      </c>
      <c r="H32" s="436">
        <v>1</v>
      </c>
      <c r="I32" s="111" t="s">
        <v>245</v>
      </c>
      <c r="J32" s="438" t="s">
        <v>28</v>
      </c>
      <c r="K32" s="96">
        <f>5560+230+1160</f>
        <v>6950</v>
      </c>
      <c r="L32" s="96">
        <f>6120+236+6800</f>
        <v>13156</v>
      </c>
      <c r="M32" s="96">
        <f>13700</f>
        <v>13700</v>
      </c>
      <c r="N32" s="96"/>
      <c r="O32" s="96">
        <v>13700</v>
      </c>
      <c r="P32" s="96">
        <v>13700</v>
      </c>
      <c r="Q32" s="81">
        <f>SUM(K32:P32)</f>
        <v>61206</v>
      </c>
      <c r="R32" s="112" t="s">
        <v>161</v>
      </c>
    </row>
    <row r="33" spans="1:19" ht="112.5" customHeight="1">
      <c r="A33" s="113" t="s">
        <v>57</v>
      </c>
      <c r="B33" s="113"/>
      <c r="C33" s="109" t="s">
        <v>121</v>
      </c>
      <c r="D33" s="91" t="s">
        <v>56</v>
      </c>
      <c r="E33" s="92" t="s">
        <v>74</v>
      </c>
      <c r="F33" s="93" t="s">
        <v>27</v>
      </c>
      <c r="G33" s="94" t="s">
        <v>77</v>
      </c>
      <c r="H33" s="95">
        <v>1</v>
      </c>
      <c r="I33" s="114" t="s">
        <v>243</v>
      </c>
      <c r="J33" s="93" t="s">
        <v>28</v>
      </c>
      <c r="K33" s="96">
        <v>370000</v>
      </c>
      <c r="L33" s="96">
        <v>370000</v>
      </c>
      <c r="M33" s="96">
        <v>370000</v>
      </c>
      <c r="N33" s="96">
        <v>370000</v>
      </c>
      <c r="O33" s="96">
        <v>370000</v>
      </c>
      <c r="P33" s="96">
        <v>370000</v>
      </c>
      <c r="Q33" s="81">
        <f>SUM(K33:P33)</f>
        <v>2220000</v>
      </c>
      <c r="R33" s="112"/>
    </row>
    <row r="34" spans="1:19" ht="197.25" customHeight="1">
      <c r="A34" s="113" t="s">
        <v>103</v>
      </c>
      <c r="B34" s="113"/>
      <c r="C34" s="115" t="s">
        <v>303</v>
      </c>
      <c r="D34" s="69" t="s">
        <v>56</v>
      </c>
      <c r="E34" s="76" t="s">
        <v>74</v>
      </c>
      <c r="F34" s="83" t="s">
        <v>27</v>
      </c>
      <c r="G34" s="84" t="s">
        <v>77</v>
      </c>
      <c r="H34" s="78">
        <v>1</v>
      </c>
      <c r="I34" s="116" t="s">
        <v>254</v>
      </c>
      <c r="J34" s="83" t="s">
        <v>28</v>
      </c>
      <c r="K34" s="81">
        <f>27800-6800</f>
        <v>21000</v>
      </c>
      <c r="L34" s="81">
        <f>30600-7700+27200</f>
        <v>50100</v>
      </c>
      <c r="M34" s="81">
        <v>41100</v>
      </c>
      <c r="N34" s="81"/>
      <c r="O34" s="81"/>
      <c r="P34" s="81"/>
      <c r="Q34" s="81">
        <f>SUM(K34:O34)</f>
        <v>112200</v>
      </c>
      <c r="R34" s="112"/>
    </row>
    <row r="35" spans="1:19" s="56" customFormat="1" ht="188.25" customHeight="1">
      <c r="A35" s="113" t="s">
        <v>160</v>
      </c>
      <c r="B35" s="113"/>
      <c r="C35" s="430" t="s">
        <v>304</v>
      </c>
      <c r="D35" s="69" t="s">
        <v>56</v>
      </c>
      <c r="E35" s="76" t="s">
        <v>74</v>
      </c>
      <c r="F35" s="83" t="s">
        <v>27</v>
      </c>
      <c r="G35" s="84" t="s">
        <v>77</v>
      </c>
      <c r="H35" s="78">
        <v>1</v>
      </c>
      <c r="I35" s="116" t="s">
        <v>305</v>
      </c>
      <c r="J35" s="83" t="s">
        <v>28</v>
      </c>
      <c r="K35" s="81"/>
      <c r="L35" s="81"/>
      <c r="M35" s="81"/>
      <c r="N35" s="81">
        <f>41300</f>
        <v>41300</v>
      </c>
      <c r="O35" s="81"/>
      <c r="P35" s="81"/>
      <c r="Q35" s="81">
        <f>SUM(K35:O35)</f>
        <v>41300</v>
      </c>
      <c r="R35" s="112"/>
    </row>
    <row r="36" spans="1:19" ht="131.25" customHeight="1">
      <c r="A36" s="113" t="s">
        <v>173</v>
      </c>
      <c r="B36" s="113"/>
      <c r="C36" s="430" t="s">
        <v>167</v>
      </c>
      <c r="D36" s="69" t="s">
        <v>56</v>
      </c>
      <c r="E36" s="76" t="s">
        <v>74</v>
      </c>
      <c r="F36" s="83" t="s">
        <v>27</v>
      </c>
      <c r="G36" s="84" t="s">
        <v>77</v>
      </c>
      <c r="H36" s="78">
        <v>1</v>
      </c>
      <c r="I36" s="114" t="s">
        <v>246</v>
      </c>
      <c r="J36" s="83" t="s">
        <v>28</v>
      </c>
      <c r="K36" s="81">
        <v>0</v>
      </c>
      <c r="L36" s="81">
        <f>3300-300</f>
        <v>3000</v>
      </c>
      <c r="M36" s="81">
        <f>2500-300</f>
        <v>2200</v>
      </c>
      <c r="N36" s="81"/>
      <c r="O36" s="81">
        <v>0</v>
      </c>
      <c r="P36" s="81"/>
      <c r="Q36" s="81">
        <f t="shared" si="7"/>
        <v>5200</v>
      </c>
      <c r="R36" s="112"/>
    </row>
    <row r="37" spans="1:19" s="56" customFormat="1" ht="189.75" customHeight="1">
      <c r="A37" s="113" t="s">
        <v>197</v>
      </c>
      <c r="B37" s="113"/>
      <c r="C37" s="430" t="s">
        <v>304</v>
      </c>
      <c r="D37" s="69" t="s">
        <v>56</v>
      </c>
      <c r="E37" s="76" t="s">
        <v>74</v>
      </c>
      <c r="F37" s="83" t="s">
        <v>27</v>
      </c>
      <c r="G37" s="84" t="s">
        <v>77</v>
      </c>
      <c r="H37" s="78">
        <v>1</v>
      </c>
      <c r="I37" s="114" t="s">
        <v>305</v>
      </c>
      <c r="J37" s="83" t="s">
        <v>28</v>
      </c>
      <c r="K37" s="81"/>
      <c r="L37" s="81"/>
      <c r="M37" s="81"/>
      <c r="N37" s="81">
        <f>2100+480200</f>
        <v>482300</v>
      </c>
      <c r="O37" s="81"/>
      <c r="P37" s="81"/>
      <c r="Q37" s="81">
        <f t="shared" si="7"/>
        <v>482300</v>
      </c>
      <c r="R37" s="112"/>
    </row>
    <row r="38" spans="1:19" s="24" customFormat="1" ht="187.5" customHeight="1">
      <c r="A38" s="113" t="s">
        <v>231</v>
      </c>
      <c r="B38" s="113"/>
      <c r="C38" s="115" t="s">
        <v>172</v>
      </c>
      <c r="D38" s="69" t="s">
        <v>56</v>
      </c>
      <c r="E38" s="76" t="s">
        <v>74</v>
      </c>
      <c r="F38" s="76" t="s">
        <v>27</v>
      </c>
      <c r="G38" s="77" t="s">
        <v>77</v>
      </c>
      <c r="H38" s="78">
        <v>1</v>
      </c>
      <c r="I38" s="83" t="s">
        <v>255</v>
      </c>
      <c r="J38" s="76" t="s">
        <v>79</v>
      </c>
      <c r="K38" s="81">
        <v>4112.6400000000003</v>
      </c>
      <c r="L38" s="81"/>
      <c r="M38" s="81"/>
      <c r="N38" s="81"/>
      <c r="O38" s="81"/>
      <c r="P38" s="81"/>
      <c r="Q38" s="81">
        <f t="shared" si="7"/>
        <v>4112.6400000000003</v>
      </c>
      <c r="R38" s="112"/>
    </row>
    <row r="39" spans="1:19" s="47" customFormat="1" ht="131.25" customHeight="1">
      <c r="A39" s="314" t="s">
        <v>279</v>
      </c>
      <c r="B39" s="113"/>
      <c r="C39" s="115" t="s">
        <v>172</v>
      </c>
      <c r="D39" s="69" t="s">
        <v>56</v>
      </c>
      <c r="E39" s="76" t="s">
        <v>74</v>
      </c>
      <c r="F39" s="76" t="s">
        <v>27</v>
      </c>
      <c r="G39" s="77" t="s">
        <v>77</v>
      </c>
      <c r="H39" s="78">
        <v>1</v>
      </c>
      <c r="I39" s="83" t="s">
        <v>255</v>
      </c>
      <c r="J39" s="76" t="s">
        <v>278</v>
      </c>
      <c r="K39" s="81">
        <v>1242.02</v>
      </c>
      <c r="L39" s="81"/>
      <c r="M39" s="81"/>
      <c r="N39" s="81"/>
      <c r="O39" s="81"/>
      <c r="P39" s="81"/>
      <c r="Q39" s="81">
        <f t="shared" ref="Q39" si="10">SUM(K39:O39)</f>
        <v>1242.02</v>
      </c>
      <c r="R39" s="112"/>
    </row>
    <row r="40" spans="1:19" s="32" customFormat="1" ht="117" customHeight="1">
      <c r="A40" s="314" t="s">
        <v>297</v>
      </c>
      <c r="B40" s="113"/>
      <c r="C40" s="423" t="s">
        <v>198</v>
      </c>
      <c r="D40" s="69" t="s">
        <v>56</v>
      </c>
      <c r="E40" s="76" t="s">
        <v>74</v>
      </c>
      <c r="F40" s="76" t="s">
        <v>27</v>
      </c>
      <c r="G40" s="77" t="s">
        <v>77</v>
      </c>
      <c r="H40" s="78">
        <v>1</v>
      </c>
      <c r="I40" s="83" t="s">
        <v>256</v>
      </c>
      <c r="J40" s="76" t="s">
        <v>28</v>
      </c>
      <c r="K40" s="81"/>
      <c r="L40" s="81">
        <v>3300</v>
      </c>
      <c r="M40" s="81">
        <v>250</v>
      </c>
      <c r="N40" s="81"/>
      <c r="O40" s="81">
        <v>260</v>
      </c>
      <c r="P40" s="81">
        <v>260</v>
      </c>
      <c r="Q40" s="81">
        <f>SUM(K40:P40)</f>
        <v>4070</v>
      </c>
      <c r="R40" s="112"/>
    </row>
    <row r="41" spans="1:19" s="36" customFormat="1" ht="60.75" customHeight="1">
      <c r="A41" s="314" t="s">
        <v>298</v>
      </c>
      <c r="B41" s="113"/>
      <c r="C41" s="334" t="s">
        <v>232</v>
      </c>
      <c r="D41" s="69" t="s">
        <v>56</v>
      </c>
      <c r="E41" s="76" t="s">
        <v>74</v>
      </c>
      <c r="F41" s="76" t="s">
        <v>27</v>
      </c>
      <c r="G41" s="77" t="s">
        <v>77</v>
      </c>
      <c r="H41" s="78">
        <v>1</v>
      </c>
      <c r="I41" s="83" t="s">
        <v>257</v>
      </c>
      <c r="J41" s="76" t="s">
        <v>28</v>
      </c>
      <c r="K41" s="81"/>
      <c r="L41" s="81">
        <v>116125</v>
      </c>
      <c r="M41" s="81"/>
      <c r="N41" s="81"/>
      <c r="O41" s="81"/>
      <c r="P41" s="81"/>
      <c r="Q41" s="81">
        <f t="shared" si="7"/>
        <v>116125</v>
      </c>
      <c r="R41" s="112"/>
    </row>
    <row r="42" spans="1:19" s="39" customFormat="1" ht="131.25" customHeight="1">
      <c r="A42" s="314" t="s">
        <v>306</v>
      </c>
      <c r="B42" s="113"/>
      <c r="C42" s="420" t="s">
        <v>241</v>
      </c>
      <c r="D42" s="91" t="s">
        <v>56</v>
      </c>
      <c r="E42" s="92" t="s">
        <v>74</v>
      </c>
      <c r="F42" s="93" t="s">
        <v>27</v>
      </c>
      <c r="G42" s="94" t="s">
        <v>77</v>
      </c>
      <c r="H42" s="95">
        <v>1</v>
      </c>
      <c r="I42" s="114" t="s">
        <v>258</v>
      </c>
      <c r="J42" s="93" t="s">
        <v>28</v>
      </c>
      <c r="K42" s="81"/>
      <c r="L42" s="81">
        <v>200000</v>
      </c>
      <c r="M42" s="81"/>
      <c r="N42" s="81"/>
      <c r="O42" s="81"/>
      <c r="P42" s="81"/>
      <c r="Q42" s="81">
        <f t="shared" si="7"/>
        <v>200000</v>
      </c>
      <c r="R42" s="112"/>
    </row>
    <row r="43" spans="1:19" s="56" customFormat="1" ht="111" customHeight="1">
      <c r="A43" s="458" t="s">
        <v>309</v>
      </c>
      <c r="B43" s="458"/>
      <c r="C43" s="460" t="s">
        <v>308</v>
      </c>
      <c r="D43" s="462" t="s">
        <v>56</v>
      </c>
      <c r="E43" s="92" t="s">
        <v>74</v>
      </c>
      <c r="F43" s="93" t="s">
        <v>27</v>
      </c>
      <c r="G43" s="94" t="s">
        <v>77</v>
      </c>
      <c r="H43" s="95">
        <v>1</v>
      </c>
      <c r="I43" s="114" t="s">
        <v>310</v>
      </c>
      <c r="J43" s="93" t="s">
        <v>79</v>
      </c>
      <c r="K43" s="81"/>
      <c r="L43" s="81"/>
      <c r="M43" s="81"/>
      <c r="N43" s="81">
        <f>268817.2</f>
        <v>268817.2</v>
      </c>
      <c r="O43" s="81"/>
      <c r="P43" s="81"/>
      <c r="Q43" s="81">
        <f t="shared" si="7"/>
        <v>268817.2</v>
      </c>
      <c r="R43" s="112"/>
    </row>
    <row r="44" spans="1:19" s="56" customFormat="1" ht="109.5" customHeight="1">
      <c r="A44" s="459"/>
      <c r="B44" s="459"/>
      <c r="C44" s="461"/>
      <c r="D44" s="463"/>
      <c r="E44" s="92" t="s">
        <v>74</v>
      </c>
      <c r="F44" s="93" t="s">
        <v>27</v>
      </c>
      <c r="G44" s="94" t="s">
        <v>77</v>
      </c>
      <c r="H44" s="95">
        <v>1</v>
      </c>
      <c r="I44" s="114" t="s">
        <v>310</v>
      </c>
      <c r="J44" s="93" t="s">
        <v>278</v>
      </c>
      <c r="K44" s="81"/>
      <c r="L44" s="81"/>
      <c r="M44" s="81"/>
      <c r="N44" s="81">
        <f>81182.8</f>
        <v>81182.8</v>
      </c>
      <c r="O44" s="81"/>
      <c r="P44" s="81"/>
      <c r="Q44" s="81">
        <f t="shared" si="7"/>
        <v>81182.8</v>
      </c>
      <c r="R44" s="112"/>
    </row>
    <row r="45" spans="1:19" s="56" customFormat="1" ht="206.25" customHeight="1">
      <c r="A45" s="364" t="s">
        <v>313</v>
      </c>
      <c r="B45" s="364"/>
      <c r="C45" s="421" t="s">
        <v>352</v>
      </c>
      <c r="D45" s="422" t="s">
        <v>56</v>
      </c>
      <c r="E45" s="92" t="s">
        <v>74</v>
      </c>
      <c r="F45" s="93" t="s">
        <v>27</v>
      </c>
      <c r="G45" s="94" t="s">
        <v>77</v>
      </c>
      <c r="H45" s="95">
        <v>1</v>
      </c>
      <c r="I45" s="114" t="s">
        <v>314</v>
      </c>
      <c r="J45" s="93" t="s">
        <v>28</v>
      </c>
      <c r="K45" s="81"/>
      <c r="L45" s="81"/>
      <c r="M45" s="81"/>
      <c r="N45" s="81">
        <f>14001+9800</f>
        <v>23801</v>
      </c>
      <c r="O45" s="81"/>
      <c r="P45" s="81"/>
      <c r="Q45" s="81">
        <f t="shared" si="7"/>
        <v>23801</v>
      </c>
      <c r="R45" s="112"/>
    </row>
    <row r="46" spans="1:19" ht="31.5" customHeight="1">
      <c r="A46" s="73"/>
      <c r="B46" s="73"/>
      <c r="C46" s="115" t="s">
        <v>15</v>
      </c>
      <c r="D46" s="69"/>
      <c r="E46" s="115"/>
      <c r="F46" s="115"/>
      <c r="G46" s="77"/>
      <c r="H46" s="78"/>
      <c r="I46" s="71"/>
      <c r="J46" s="115"/>
      <c r="K46" s="81">
        <f t="shared" ref="K46:P46" si="11">SUM(K18:K42)</f>
        <v>7761783.0299999993</v>
      </c>
      <c r="L46" s="81">
        <f t="shared" si="11"/>
        <v>8209693.25</v>
      </c>
      <c r="M46" s="81">
        <f t="shared" si="11"/>
        <v>8063105.1600000011</v>
      </c>
      <c r="N46" s="81">
        <f>SUM(N18:N45)</f>
        <v>9886282.7799999993</v>
      </c>
      <c r="O46" s="81">
        <f t="shared" si="11"/>
        <v>7847955.8200000003</v>
      </c>
      <c r="P46" s="81">
        <f t="shared" si="11"/>
        <v>7847955.8200000003</v>
      </c>
      <c r="Q46" s="81">
        <f>SUM(K46:P46)</f>
        <v>49616775.859999999</v>
      </c>
      <c r="R46" s="91"/>
      <c r="S46" s="8"/>
    </row>
    <row r="47" spans="1:19" ht="18" customHeight="1">
      <c r="A47" s="73" t="s">
        <v>16</v>
      </c>
      <c r="B47" s="74"/>
      <c r="C47" s="468" t="s">
        <v>71</v>
      </c>
      <c r="D47" s="469"/>
      <c r="E47" s="469"/>
      <c r="F47" s="469"/>
      <c r="G47" s="469"/>
      <c r="H47" s="469"/>
      <c r="I47" s="469"/>
      <c r="J47" s="469"/>
      <c r="K47" s="469"/>
      <c r="L47" s="469"/>
      <c r="M47" s="469"/>
      <c r="N47" s="469"/>
      <c r="O47" s="469"/>
      <c r="P47" s="469"/>
      <c r="Q47" s="470"/>
      <c r="R47" s="91"/>
    </row>
    <row r="48" spans="1:19" ht="165.75" customHeight="1">
      <c r="A48" s="458" t="s">
        <v>17</v>
      </c>
      <c r="B48" s="118"/>
      <c r="C48" s="115" t="s">
        <v>122</v>
      </c>
      <c r="D48" s="69" t="s">
        <v>56</v>
      </c>
      <c r="E48" s="76" t="s">
        <v>74</v>
      </c>
      <c r="F48" s="76" t="s">
        <v>27</v>
      </c>
      <c r="G48" s="77" t="s">
        <v>77</v>
      </c>
      <c r="H48" s="78">
        <v>1</v>
      </c>
      <c r="I48" s="111" t="s">
        <v>244</v>
      </c>
      <c r="J48" s="76" t="s">
        <v>78</v>
      </c>
      <c r="K48" s="81">
        <f>2089586.88+21000-109173.01+61290+46791.28</f>
        <v>2109495.15</v>
      </c>
      <c r="L48" s="81">
        <v>2167494.23</v>
      </c>
      <c r="M48" s="81">
        <v>2282088.83</v>
      </c>
      <c r="N48" s="81">
        <f>2638085.84-96927.39</f>
        <v>2541158.4499999997</v>
      </c>
      <c r="O48" s="81">
        <f>N48+96927.39</f>
        <v>2638085.84</v>
      </c>
      <c r="P48" s="81">
        <f>O48</f>
        <v>2638085.84</v>
      </c>
      <c r="Q48" s="81">
        <f>SUM(K48:P48)</f>
        <v>14376408.34</v>
      </c>
      <c r="R48" s="462" t="s">
        <v>81</v>
      </c>
    </row>
    <row r="49" spans="1:19" ht="134.25" customHeight="1">
      <c r="A49" s="464"/>
      <c r="B49" s="119"/>
      <c r="C49" s="115" t="s">
        <v>138</v>
      </c>
      <c r="D49" s="69" t="s">
        <v>56</v>
      </c>
      <c r="E49" s="83" t="s">
        <v>74</v>
      </c>
      <c r="F49" s="83" t="s">
        <v>27</v>
      </c>
      <c r="G49" s="84" t="s">
        <v>77</v>
      </c>
      <c r="H49" s="78">
        <v>1</v>
      </c>
      <c r="I49" s="83" t="s">
        <v>252</v>
      </c>
      <c r="J49" s="83" t="s">
        <v>78</v>
      </c>
      <c r="K49" s="81">
        <f>108081.28-46791.28+9459.03</f>
        <v>70749.03</v>
      </c>
      <c r="L49" s="81">
        <v>106357.97</v>
      </c>
      <c r="M49" s="81">
        <v>14532.72</v>
      </c>
      <c r="N49" s="81">
        <f>10635.13+3781.06</f>
        <v>14416.189999999999</v>
      </c>
      <c r="O49" s="81"/>
      <c r="P49" s="81"/>
      <c r="Q49" s="81">
        <f t="shared" ref="Q49:Q54" si="12">SUM(K49:O49)</f>
        <v>206055.91</v>
      </c>
      <c r="R49" s="508"/>
    </row>
    <row r="50" spans="1:19" ht="163.5" customHeight="1">
      <c r="A50" s="459"/>
      <c r="B50" s="120"/>
      <c r="C50" s="115" t="s">
        <v>139</v>
      </c>
      <c r="D50" s="69" t="s">
        <v>56</v>
      </c>
      <c r="E50" s="83" t="s">
        <v>74</v>
      </c>
      <c r="F50" s="83" t="s">
        <v>27</v>
      </c>
      <c r="G50" s="84" t="s">
        <v>77</v>
      </c>
      <c r="H50" s="78">
        <v>1</v>
      </c>
      <c r="I50" s="83" t="s">
        <v>253</v>
      </c>
      <c r="J50" s="83" t="s">
        <v>78</v>
      </c>
      <c r="K50" s="81">
        <v>1091.73</v>
      </c>
      <c r="L50" s="81">
        <v>1074.32</v>
      </c>
      <c r="M50" s="81">
        <v>156.94</v>
      </c>
      <c r="N50" s="81"/>
      <c r="O50" s="81"/>
      <c r="P50" s="81"/>
      <c r="Q50" s="81">
        <f t="shared" si="12"/>
        <v>2322.9900000000002</v>
      </c>
      <c r="R50" s="463"/>
    </row>
    <row r="51" spans="1:19" ht="81.75" customHeight="1">
      <c r="A51" s="73" t="s">
        <v>72</v>
      </c>
      <c r="B51" s="73"/>
      <c r="C51" s="115" t="s">
        <v>129</v>
      </c>
      <c r="D51" s="69" t="s">
        <v>56</v>
      </c>
      <c r="E51" s="76" t="s">
        <v>74</v>
      </c>
      <c r="F51" s="76" t="s">
        <v>27</v>
      </c>
      <c r="G51" s="77" t="s">
        <v>77</v>
      </c>
      <c r="H51" s="78">
        <v>1</v>
      </c>
      <c r="I51" s="83" t="s">
        <v>247</v>
      </c>
      <c r="J51" s="76" t="s">
        <v>80</v>
      </c>
      <c r="K51" s="81">
        <v>12000</v>
      </c>
      <c r="L51" s="81">
        <v>0</v>
      </c>
      <c r="M51" s="81">
        <v>0</v>
      </c>
      <c r="N51" s="81"/>
      <c r="O51" s="81"/>
      <c r="P51" s="81"/>
      <c r="Q51" s="81">
        <f t="shared" si="12"/>
        <v>12000</v>
      </c>
      <c r="R51" s="90" t="s">
        <v>130</v>
      </c>
    </row>
    <row r="52" spans="1:19" ht="197.25" customHeight="1">
      <c r="A52" s="73" t="s">
        <v>73</v>
      </c>
      <c r="B52" s="73"/>
      <c r="C52" s="115" t="s">
        <v>172</v>
      </c>
      <c r="D52" s="69" t="s">
        <v>56</v>
      </c>
      <c r="E52" s="76" t="s">
        <v>74</v>
      </c>
      <c r="F52" s="76" t="s">
        <v>27</v>
      </c>
      <c r="G52" s="77" t="s">
        <v>77</v>
      </c>
      <c r="H52" s="78">
        <v>1</v>
      </c>
      <c r="I52" s="83" t="s">
        <v>255</v>
      </c>
      <c r="J52" s="76" t="s">
        <v>78</v>
      </c>
      <c r="K52" s="81">
        <v>2593.52</v>
      </c>
      <c r="L52" s="81"/>
      <c r="M52" s="81"/>
      <c r="N52" s="81"/>
      <c r="O52" s="81"/>
      <c r="P52" s="81"/>
      <c r="Q52" s="81">
        <f t="shared" si="12"/>
        <v>2593.52</v>
      </c>
      <c r="R52" s="90"/>
    </row>
    <row r="53" spans="1:19" s="56" customFormat="1" ht="237.75" customHeight="1">
      <c r="A53" s="360" t="s">
        <v>311</v>
      </c>
      <c r="B53" s="360"/>
      <c r="C53" s="115" t="s">
        <v>308</v>
      </c>
      <c r="D53" s="69" t="s">
        <v>56</v>
      </c>
      <c r="E53" s="76" t="s">
        <v>74</v>
      </c>
      <c r="F53" s="76" t="s">
        <v>27</v>
      </c>
      <c r="G53" s="77" t="s">
        <v>77</v>
      </c>
      <c r="H53" s="78">
        <v>1</v>
      </c>
      <c r="I53" s="83" t="s">
        <v>310</v>
      </c>
      <c r="J53" s="76" t="s">
        <v>78</v>
      </c>
      <c r="K53" s="81"/>
      <c r="L53" s="81"/>
      <c r="M53" s="81"/>
      <c r="N53" s="81">
        <f>122000</f>
        <v>122000</v>
      </c>
      <c r="O53" s="81"/>
      <c r="P53" s="81"/>
      <c r="Q53" s="81">
        <f t="shared" si="12"/>
        <v>122000</v>
      </c>
      <c r="R53" s="90"/>
    </row>
    <row r="54" spans="1:19" s="56" customFormat="1" ht="221.25" customHeight="1">
      <c r="A54" s="401" t="s">
        <v>339</v>
      </c>
      <c r="B54" s="401"/>
      <c r="C54" s="276" t="s">
        <v>341</v>
      </c>
      <c r="D54" s="69" t="s">
        <v>56</v>
      </c>
      <c r="E54" s="76" t="s">
        <v>74</v>
      </c>
      <c r="F54" s="76" t="s">
        <v>27</v>
      </c>
      <c r="G54" s="77" t="s">
        <v>77</v>
      </c>
      <c r="H54" s="78">
        <v>1</v>
      </c>
      <c r="I54" s="83" t="s">
        <v>338</v>
      </c>
      <c r="J54" s="76" t="s">
        <v>78</v>
      </c>
      <c r="K54" s="81"/>
      <c r="L54" s="81"/>
      <c r="M54" s="81"/>
      <c r="N54" s="81">
        <f>110051.74+93158.71+27470.32</f>
        <v>230680.77000000002</v>
      </c>
      <c r="O54" s="81"/>
      <c r="P54" s="81"/>
      <c r="Q54" s="81">
        <f t="shared" si="12"/>
        <v>230680.77000000002</v>
      </c>
      <c r="R54" s="90"/>
    </row>
    <row r="55" spans="1:19" ht="32.25" customHeight="1">
      <c r="A55" s="73"/>
      <c r="B55" s="73"/>
      <c r="C55" s="115" t="s">
        <v>18</v>
      </c>
      <c r="D55" s="69"/>
      <c r="E55" s="115"/>
      <c r="F55" s="115"/>
      <c r="G55" s="77"/>
      <c r="H55" s="78"/>
      <c r="I55" s="71"/>
      <c r="J55" s="115"/>
      <c r="K55" s="81">
        <f t="shared" ref="K55:P55" si="13">SUM(K48:K52)</f>
        <v>2195929.4299999997</v>
      </c>
      <c r="L55" s="81">
        <f t="shared" si="13"/>
        <v>2274926.52</v>
      </c>
      <c r="M55" s="81">
        <f t="shared" si="13"/>
        <v>2296778.4900000002</v>
      </c>
      <c r="N55" s="81">
        <f>SUM(N48:N54)</f>
        <v>2908255.4099999997</v>
      </c>
      <c r="O55" s="81">
        <f t="shared" si="13"/>
        <v>2638085.84</v>
      </c>
      <c r="P55" s="81">
        <f t="shared" si="13"/>
        <v>2638085.84</v>
      </c>
      <c r="Q55" s="81">
        <f>SUM(K55:P55)</f>
        <v>14952061.529999999</v>
      </c>
      <c r="R55" s="91"/>
      <c r="S55" s="8"/>
    </row>
    <row r="56" spans="1:19" ht="45.75" customHeight="1">
      <c r="A56" s="458" t="s">
        <v>16</v>
      </c>
      <c r="B56" s="108" t="s">
        <v>51</v>
      </c>
      <c r="C56" s="484" t="s">
        <v>143</v>
      </c>
      <c r="D56" s="69" t="s">
        <v>141</v>
      </c>
      <c r="E56" s="70"/>
      <c r="F56" s="70"/>
      <c r="G56" s="70"/>
      <c r="H56" s="70"/>
      <c r="I56" s="70"/>
      <c r="J56" s="70"/>
      <c r="K56" s="72">
        <f t="shared" ref="K56:P56" si="14">K80+K92+K111</f>
        <v>41738870.470000006</v>
      </c>
      <c r="L56" s="72">
        <f t="shared" si="14"/>
        <v>34136465.450000003</v>
      </c>
      <c r="M56" s="72">
        <f t="shared" si="14"/>
        <v>35072850.270000003</v>
      </c>
      <c r="N56" s="72">
        <f t="shared" si="14"/>
        <v>40899338.180000007</v>
      </c>
      <c r="O56" s="72">
        <f>O80+O92+O111</f>
        <v>33718876.650000006</v>
      </c>
      <c r="P56" s="72">
        <f t="shared" si="14"/>
        <v>33718876.650000006</v>
      </c>
      <c r="Q56" s="121">
        <f>SUM(K56:P56)</f>
        <v>219285277.67000005</v>
      </c>
      <c r="R56" s="91"/>
      <c r="S56" s="8"/>
    </row>
    <row r="57" spans="1:19" ht="17.25" customHeight="1">
      <c r="A57" s="485"/>
      <c r="B57" s="315"/>
      <c r="C57" s="500"/>
      <c r="D57" s="69" t="s">
        <v>25</v>
      </c>
      <c r="E57" s="70"/>
      <c r="F57" s="70"/>
      <c r="G57" s="70"/>
      <c r="H57" s="70"/>
      <c r="I57" s="70"/>
      <c r="J57" s="70"/>
      <c r="K57" s="72"/>
      <c r="L57" s="70"/>
      <c r="M57" s="70"/>
      <c r="N57" s="70"/>
      <c r="O57" s="70"/>
      <c r="P57" s="70"/>
      <c r="Q57" s="121">
        <f t="shared" ref="Q57" si="15">SUM(K57:M57)</f>
        <v>0</v>
      </c>
      <c r="R57" s="91"/>
      <c r="S57" s="8"/>
    </row>
    <row r="58" spans="1:19" ht="48" customHeight="1">
      <c r="A58" s="485"/>
      <c r="B58" s="315"/>
      <c r="C58" s="500"/>
      <c r="D58" s="69" t="s">
        <v>191</v>
      </c>
      <c r="E58" s="70" t="s">
        <v>48</v>
      </c>
      <c r="F58" s="70" t="s">
        <v>48</v>
      </c>
      <c r="G58" s="70" t="s">
        <v>48</v>
      </c>
      <c r="H58" s="70" t="s">
        <v>48</v>
      </c>
      <c r="I58" s="70" t="s">
        <v>48</v>
      </c>
      <c r="J58" s="70" t="s">
        <v>48</v>
      </c>
      <c r="K58" s="72">
        <f>6181600</f>
        <v>6181600</v>
      </c>
      <c r="L58" s="72">
        <v>0</v>
      </c>
      <c r="M58" s="72">
        <v>0</v>
      </c>
      <c r="N58" s="72">
        <f>N106</f>
        <v>2112480</v>
      </c>
      <c r="O58" s="72"/>
      <c r="P58" s="72"/>
      <c r="Q58" s="121">
        <f>SUM(K58:N58)</f>
        <v>8294080</v>
      </c>
      <c r="R58" s="91"/>
      <c r="S58" s="8"/>
    </row>
    <row r="59" spans="1:19" ht="51" customHeight="1">
      <c r="A59" s="486"/>
      <c r="B59" s="316"/>
      <c r="C59" s="501"/>
      <c r="D59" s="69" t="s">
        <v>192</v>
      </c>
      <c r="E59" s="70" t="s">
        <v>48</v>
      </c>
      <c r="F59" s="70" t="s">
        <v>48</v>
      </c>
      <c r="G59" s="70" t="s">
        <v>48</v>
      </c>
      <c r="H59" s="70" t="s">
        <v>48</v>
      </c>
      <c r="I59" s="70" t="s">
        <v>48</v>
      </c>
      <c r="J59" s="70" t="s">
        <v>48</v>
      </c>
      <c r="K59" s="72">
        <f>556913.66+125691.96+1860000+197569.99</f>
        <v>2740175.6100000003</v>
      </c>
      <c r="L59" s="72">
        <f>L63+L70+L65+L85</f>
        <v>1479370.68</v>
      </c>
      <c r="M59" s="72">
        <f>M85+M87+M88+M63+M70+M65+M72</f>
        <v>1291232.52</v>
      </c>
      <c r="N59" s="72">
        <f>N107+N109+N63+N65+N70+N72+N66+N73+N79</f>
        <v>5258950.1000000006</v>
      </c>
      <c r="O59" s="72"/>
      <c r="P59" s="72"/>
      <c r="Q59" s="121">
        <f>SUM(K59:P59)</f>
        <v>10769728.91</v>
      </c>
      <c r="R59" s="91" t="s">
        <v>158</v>
      </c>
      <c r="S59" s="8"/>
    </row>
    <row r="60" spans="1:19" ht="60" customHeight="1">
      <c r="A60" s="73"/>
      <c r="B60" s="316"/>
      <c r="C60" s="70"/>
      <c r="D60" s="69" t="s">
        <v>193</v>
      </c>
      <c r="E60" s="70" t="s">
        <v>48</v>
      </c>
      <c r="F60" s="70" t="s">
        <v>48</v>
      </c>
      <c r="G60" s="70" t="s">
        <v>48</v>
      </c>
      <c r="H60" s="70" t="s">
        <v>48</v>
      </c>
      <c r="I60" s="70" t="s">
        <v>48</v>
      </c>
      <c r="J60" s="70" t="s">
        <v>48</v>
      </c>
      <c r="K60" s="72">
        <f>K56-K59-K58</f>
        <v>32817094.860000007</v>
      </c>
      <c r="L60" s="72">
        <f>L56-L59</f>
        <v>32657094.770000003</v>
      </c>
      <c r="M60" s="72">
        <f>M56-M59</f>
        <v>33781617.75</v>
      </c>
      <c r="N60" s="72">
        <f>N56-N59-N58</f>
        <v>33527908.080000006</v>
      </c>
      <c r="O60" s="72">
        <f>O56-O59</f>
        <v>33718876.650000006</v>
      </c>
      <c r="P60" s="72">
        <f>P56-P59</f>
        <v>33718876.650000006</v>
      </c>
      <c r="Q60" s="121">
        <f>SUM(K60:P60)</f>
        <v>200221468.76000002</v>
      </c>
      <c r="R60" s="68"/>
      <c r="S60" s="8"/>
    </row>
    <row r="61" spans="1:19" s="11" customFormat="1" ht="15" customHeight="1">
      <c r="A61" s="73" t="s">
        <v>13</v>
      </c>
      <c r="B61" s="74"/>
      <c r="C61" s="468" t="s">
        <v>55</v>
      </c>
      <c r="D61" s="469"/>
      <c r="E61" s="469"/>
      <c r="F61" s="469"/>
      <c r="G61" s="469"/>
      <c r="H61" s="469"/>
      <c r="I61" s="469"/>
      <c r="J61" s="469"/>
      <c r="K61" s="469"/>
      <c r="L61" s="469"/>
      <c r="M61" s="469"/>
      <c r="N61" s="469"/>
      <c r="O61" s="469"/>
      <c r="P61" s="469"/>
      <c r="Q61" s="470"/>
      <c r="R61" s="68"/>
    </row>
    <row r="62" spans="1:19" ht="132" customHeight="1">
      <c r="A62" s="108" t="s">
        <v>30</v>
      </c>
      <c r="B62" s="118"/>
      <c r="C62" s="115" t="s">
        <v>112</v>
      </c>
      <c r="D62" s="115" t="s">
        <v>56</v>
      </c>
      <c r="E62" s="76" t="s">
        <v>74</v>
      </c>
      <c r="F62" s="76" t="s">
        <v>27</v>
      </c>
      <c r="G62" s="77" t="s">
        <v>77</v>
      </c>
      <c r="H62" s="78">
        <v>2</v>
      </c>
      <c r="I62" s="111" t="s">
        <v>244</v>
      </c>
      <c r="J62" s="76" t="s">
        <v>78</v>
      </c>
      <c r="K62" s="81">
        <f>24664296.64-816087.14-125691.96+75619+512753.06+295173.21</f>
        <v>24606062.809999999</v>
      </c>
      <c r="L62" s="81">
        <v>25950759.199999999</v>
      </c>
      <c r="M62" s="81">
        <v>27293234.120000001</v>
      </c>
      <c r="N62" s="81">
        <f>27438036.94-2502.83-717262.69-1522.7</f>
        <v>26716748.720000003</v>
      </c>
      <c r="O62" s="81">
        <f>N62+2502.83+717262.69+1522.7</f>
        <v>27438036.940000001</v>
      </c>
      <c r="P62" s="81">
        <f>O62</f>
        <v>27438036.940000001</v>
      </c>
      <c r="Q62" s="81">
        <f>SUM(K62:P62)</f>
        <v>159442878.72999999</v>
      </c>
      <c r="R62" s="318" t="s">
        <v>84</v>
      </c>
    </row>
    <row r="63" spans="1:19" ht="216.75" customHeight="1">
      <c r="A63" s="134"/>
      <c r="B63" s="119"/>
      <c r="C63" s="115" t="s">
        <v>138</v>
      </c>
      <c r="D63" s="115" t="s">
        <v>56</v>
      </c>
      <c r="E63" s="76" t="s">
        <v>74</v>
      </c>
      <c r="F63" s="76" t="s">
        <v>27</v>
      </c>
      <c r="G63" s="77" t="s">
        <v>77</v>
      </c>
      <c r="H63" s="84" t="s">
        <v>16</v>
      </c>
      <c r="I63" s="83" t="s">
        <v>252</v>
      </c>
      <c r="J63" s="76" t="s">
        <v>78</v>
      </c>
      <c r="K63" s="81">
        <f>807926.27-295173.21+60134.56</f>
        <v>572887.62</v>
      </c>
      <c r="L63" s="81">
        <v>882697.37</v>
      </c>
      <c r="M63" s="81">
        <v>184852.22</v>
      </c>
      <c r="N63" s="81">
        <f>167644.95+95720.68</f>
        <v>263365.63</v>
      </c>
      <c r="O63" s="81"/>
      <c r="P63" s="81"/>
      <c r="Q63" s="81">
        <f t="shared" ref="Q63:Q78" si="16">SUM(K63:O63)</f>
        <v>1903802.8399999999</v>
      </c>
      <c r="R63" s="466"/>
    </row>
    <row r="64" spans="1:19" ht="235.5" customHeight="1">
      <c r="A64" s="134"/>
      <c r="B64" s="119"/>
      <c r="C64" s="115" t="s">
        <v>139</v>
      </c>
      <c r="D64" s="115" t="s">
        <v>56</v>
      </c>
      <c r="E64" s="76" t="s">
        <v>74</v>
      </c>
      <c r="F64" s="83" t="s">
        <v>27</v>
      </c>
      <c r="G64" s="84" t="s">
        <v>77</v>
      </c>
      <c r="H64" s="84" t="s">
        <v>16</v>
      </c>
      <c r="I64" s="83" t="s">
        <v>253</v>
      </c>
      <c r="J64" s="83" t="s">
        <v>78</v>
      </c>
      <c r="K64" s="81">
        <v>8160.87</v>
      </c>
      <c r="L64" s="81">
        <v>8916.14</v>
      </c>
      <c r="M64" s="81">
        <v>1989.78</v>
      </c>
      <c r="N64" s="81">
        <f>2502.83+1522.7</f>
        <v>4025.5299999999997</v>
      </c>
      <c r="O64" s="81"/>
      <c r="P64" s="81"/>
      <c r="Q64" s="81">
        <f t="shared" si="16"/>
        <v>23092.319999999996</v>
      </c>
      <c r="R64" s="466"/>
    </row>
    <row r="65" spans="1:19" ht="105">
      <c r="A65" s="134"/>
      <c r="B65" s="119"/>
      <c r="C65" s="115" t="s">
        <v>140</v>
      </c>
      <c r="D65" s="115" t="s">
        <v>56</v>
      </c>
      <c r="E65" s="76" t="s">
        <v>74</v>
      </c>
      <c r="F65" s="83" t="s">
        <v>27</v>
      </c>
      <c r="G65" s="84" t="s">
        <v>77</v>
      </c>
      <c r="H65" s="84" t="s">
        <v>16</v>
      </c>
      <c r="I65" s="83" t="s">
        <v>259</v>
      </c>
      <c r="J65" s="83" t="s">
        <v>78</v>
      </c>
      <c r="K65" s="81">
        <f>125691.96+125691.96+92180</f>
        <v>343563.92000000004</v>
      </c>
      <c r="L65" s="81">
        <v>328353.59999999998</v>
      </c>
      <c r="M65" s="81">
        <v>295385.7</v>
      </c>
      <c r="N65" s="81">
        <f>228070.41+4353.03+0.01+25976.72+134474.12+1079.16</f>
        <v>393953.45</v>
      </c>
      <c r="O65" s="81"/>
      <c r="P65" s="81"/>
      <c r="Q65" s="81">
        <f t="shared" si="16"/>
        <v>1361256.67</v>
      </c>
      <c r="R65" s="466"/>
      <c r="S65" s="8" t="s">
        <v>189</v>
      </c>
    </row>
    <row r="66" spans="1:19" s="56" customFormat="1" ht="89.25" customHeight="1">
      <c r="A66" s="134"/>
      <c r="B66" s="394"/>
      <c r="C66" s="115" t="s">
        <v>341</v>
      </c>
      <c r="D66" s="115" t="s">
        <v>56</v>
      </c>
      <c r="E66" s="76" t="s">
        <v>74</v>
      </c>
      <c r="F66" s="83" t="s">
        <v>27</v>
      </c>
      <c r="G66" s="84" t="s">
        <v>77</v>
      </c>
      <c r="H66" s="84" t="s">
        <v>16</v>
      </c>
      <c r="I66" s="83" t="s">
        <v>338</v>
      </c>
      <c r="J66" s="83" t="s">
        <v>78</v>
      </c>
      <c r="K66" s="81"/>
      <c r="L66" s="81"/>
      <c r="M66" s="81"/>
      <c r="N66" s="81">
        <f>814391.98+443361.62+869481.29+256389.68</f>
        <v>2383624.5700000003</v>
      </c>
      <c r="O66" s="81"/>
      <c r="P66" s="81"/>
      <c r="Q66" s="81">
        <f t="shared" si="16"/>
        <v>2383624.5700000003</v>
      </c>
      <c r="R66" s="395"/>
      <c r="S66" s="8"/>
    </row>
    <row r="67" spans="1:19" ht="111" customHeight="1">
      <c r="A67" s="107"/>
      <c r="B67" s="329"/>
      <c r="C67" s="115" t="s">
        <v>113</v>
      </c>
      <c r="D67" s="115" t="s">
        <v>56</v>
      </c>
      <c r="E67" s="76" t="s">
        <v>74</v>
      </c>
      <c r="F67" s="83" t="s">
        <v>27</v>
      </c>
      <c r="G67" s="84" t="s">
        <v>77</v>
      </c>
      <c r="H67" s="84" t="s">
        <v>16</v>
      </c>
      <c r="I67" s="83" t="s">
        <v>247</v>
      </c>
      <c r="J67" s="83" t="s">
        <v>80</v>
      </c>
      <c r="K67" s="81">
        <f>200000+300000+15000</f>
        <v>515000</v>
      </c>
      <c r="L67" s="81">
        <v>0</v>
      </c>
      <c r="M67" s="81">
        <v>0</v>
      </c>
      <c r="N67" s="81"/>
      <c r="O67" s="81"/>
      <c r="P67" s="81"/>
      <c r="Q67" s="81">
        <f t="shared" si="16"/>
        <v>515000</v>
      </c>
      <c r="R67" s="123"/>
    </row>
    <row r="68" spans="1:19" ht="185.25" customHeight="1">
      <c r="A68" s="113"/>
      <c r="B68" s="120"/>
      <c r="C68" s="115" t="s">
        <v>123</v>
      </c>
      <c r="D68" s="115" t="s">
        <v>56</v>
      </c>
      <c r="E68" s="76" t="s">
        <v>74</v>
      </c>
      <c r="F68" s="83" t="s">
        <v>27</v>
      </c>
      <c r="G68" s="84" t="s">
        <v>77</v>
      </c>
      <c r="H68" s="84" t="s">
        <v>16</v>
      </c>
      <c r="I68" s="83" t="s">
        <v>260</v>
      </c>
      <c r="J68" s="83" t="s">
        <v>80</v>
      </c>
      <c r="K68" s="81">
        <v>0</v>
      </c>
      <c r="L68" s="81">
        <v>0</v>
      </c>
      <c r="M68" s="81">
        <v>0</v>
      </c>
      <c r="N68" s="81"/>
      <c r="O68" s="81"/>
      <c r="P68" s="81"/>
      <c r="Q68" s="81">
        <f t="shared" si="16"/>
        <v>0</v>
      </c>
      <c r="R68" s="124"/>
    </row>
    <row r="69" spans="1:19" ht="119.25" customHeight="1">
      <c r="A69" s="108" t="s">
        <v>14</v>
      </c>
      <c r="B69" s="118"/>
      <c r="C69" s="115" t="s">
        <v>111</v>
      </c>
      <c r="D69" s="115" t="s">
        <v>56</v>
      </c>
      <c r="E69" s="76" t="s">
        <v>74</v>
      </c>
      <c r="F69" s="76" t="s">
        <v>27</v>
      </c>
      <c r="G69" s="77" t="s">
        <v>77</v>
      </c>
      <c r="H69" s="84" t="s">
        <v>16</v>
      </c>
      <c r="I69" s="111" t="s">
        <v>244</v>
      </c>
      <c r="J69" s="76" t="s">
        <v>78</v>
      </c>
      <c r="K69" s="81">
        <f>4533475.22-81949.75+58744+44160.6+36969.65+373.44</f>
        <v>4591773.16</v>
      </c>
      <c r="L69" s="81">
        <v>4635728.3499999996</v>
      </c>
      <c r="M69" s="81">
        <v>4787389.63</v>
      </c>
      <c r="N69" s="81">
        <f>4801089.71-116312.86-21188</f>
        <v>4663588.8499999996</v>
      </c>
      <c r="O69" s="81">
        <f>N69+116312.86+21188</f>
        <v>4801089.71</v>
      </c>
      <c r="P69" s="81">
        <f>O69</f>
        <v>4801089.71</v>
      </c>
      <c r="Q69" s="81">
        <f>SUM(K69:P69)</f>
        <v>28280659.410000004</v>
      </c>
      <c r="R69" s="332" t="s">
        <v>85</v>
      </c>
    </row>
    <row r="70" spans="1:19" ht="209.25" customHeight="1">
      <c r="A70" s="134"/>
      <c r="B70" s="119"/>
      <c r="C70" s="115" t="s">
        <v>138</v>
      </c>
      <c r="D70" s="115" t="s">
        <v>56</v>
      </c>
      <c r="E70" s="83" t="s">
        <v>74</v>
      </c>
      <c r="F70" s="83" t="s">
        <v>27</v>
      </c>
      <c r="G70" s="84" t="s">
        <v>77</v>
      </c>
      <c r="H70" s="84" t="s">
        <v>16</v>
      </c>
      <c r="I70" s="83" t="s">
        <v>252</v>
      </c>
      <c r="J70" s="83" t="s">
        <v>78</v>
      </c>
      <c r="K70" s="81">
        <f>81130.25-36969.65</f>
        <v>44160.6</v>
      </c>
      <c r="L70" s="81">
        <v>68319.710000000006</v>
      </c>
      <c r="M70" s="81">
        <v>16169.92</v>
      </c>
      <c r="N70" s="81">
        <f>10950.42+7370.83</f>
        <v>18321.25</v>
      </c>
      <c r="O70" s="81"/>
      <c r="P70" s="81"/>
      <c r="Q70" s="81">
        <f t="shared" si="16"/>
        <v>146971.47999999998</v>
      </c>
      <c r="R70" s="331"/>
    </row>
    <row r="71" spans="1:19" ht="247.5" customHeight="1">
      <c r="A71" s="113"/>
      <c r="B71" s="310"/>
      <c r="C71" s="115" t="s">
        <v>139</v>
      </c>
      <c r="D71" s="115" t="s">
        <v>56</v>
      </c>
      <c r="E71" s="83" t="s">
        <v>74</v>
      </c>
      <c r="F71" s="83" t="s">
        <v>27</v>
      </c>
      <c r="G71" s="84" t="s">
        <v>77</v>
      </c>
      <c r="H71" s="84" t="s">
        <v>16</v>
      </c>
      <c r="I71" s="83" t="s">
        <v>253</v>
      </c>
      <c r="J71" s="83" t="s">
        <v>78</v>
      </c>
      <c r="K71" s="81">
        <v>446.06</v>
      </c>
      <c r="L71" s="81">
        <v>746.08</v>
      </c>
      <c r="M71" s="81">
        <v>175.92</v>
      </c>
      <c r="N71" s="81"/>
      <c r="O71" s="81"/>
      <c r="P71" s="81"/>
      <c r="Q71" s="81">
        <f t="shared" si="16"/>
        <v>1368.0600000000002</v>
      </c>
      <c r="R71" s="123"/>
    </row>
    <row r="72" spans="1:19" s="51" customFormat="1" ht="132" customHeight="1">
      <c r="A72" s="113"/>
      <c r="B72" s="310"/>
      <c r="C72" s="90" t="s">
        <v>140</v>
      </c>
      <c r="D72" s="282" t="s">
        <v>56</v>
      </c>
      <c r="E72" s="93" t="s">
        <v>74</v>
      </c>
      <c r="F72" s="93" t="s">
        <v>27</v>
      </c>
      <c r="G72" s="94" t="s">
        <v>77</v>
      </c>
      <c r="H72" s="94" t="s">
        <v>16</v>
      </c>
      <c r="I72" s="93" t="s">
        <v>259</v>
      </c>
      <c r="J72" s="93" t="s">
        <v>78</v>
      </c>
      <c r="K72" s="81"/>
      <c r="L72" s="96"/>
      <c r="M72" s="96">
        <v>36824.68</v>
      </c>
      <c r="N72" s="96">
        <f>34329.06+13481.43</f>
        <v>47810.49</v>
      </c>
      <c r="O72" s="96"/>
      <c r="P72" s="96"/>
      <c r="Q72" s="96">
        <f t="shared" ref="Q72:Q73" si="17">K72+L72+M72+N72</f>
        <v>84635.17</v>
      </c>
      <c r="R72" s="127"/>
    </row>
    <row r="73" spans="1:19" s="56" customFormat="1" ht="228.75" customHeight="1">
      <c r="A73" s="113"/>
      <c r="B73" s="393"/>
      <c r="C73" s="90" t="s">
        <v>341</v>
      </c>
      <c r="D73" s="282" t="s">
        <v>56</v>
      </c>
      <c r="E73" s="93" t="s">
        <v>74</v>
      </c>
      <c r="F73" s="93" t="s">
        <v>27</v>
      </c>
      <c r="G73" s="94" t="s">
        <v>77</v>
      </c>
      <c r="H73" s="94" t="s">
        <v>16</v>
      </c>
      <c r="I73" s="93" t="s">
        <v>338</v>
      </c>
      <c r="J73" s="93" t="s">
        <v>78</v>
      </c>
      <c r="K73" s="81"/>
      <c r="L73" s="96"/>
      <c r="M73" s="96"/>
      <c r="N73" s="96">
        <f>220105.96+31454.24+207019.35+61045.16</f>
        <v>519624.70999999996</v>
      </c>
      <c r="O73" s="96"/>
      <c r="P73" s="96"/>
      <c r="Q73" s="96">
        <f t="shared" si="17"/>
        <v>519624.70999999996</v>
      </c>
      <c r="R73" s="403"/>
    </row>
    <row r="74" spans="1:19" ht="121.5" customHeight="1">
      <c r="A74" s="107"/>
      <c r="B74" s="329"/>
      <c r="C74" s="115" t="s">
        <v>113</v>
      </c>
      <c r="D74" s="115" t="s">
        <v>56</v>
      </c>
      <c r="E74" s="128" t="s">
        <v>74</v>
      </c>
      <c r="F74" s="116" t="s">
        <v>27</v>
      </c>
      <c r="G74" s="129" t="s">
        <v>77</v>
      </c>
      <c r="H74" s="129" t="s">
        <v>16</v>
      </c>
      <c r="I74" s="116" t="s">
        <v>247</v>
      </c>
      <c r="J74" s="116" t="s">
        <v>80</v>
      </c>
      <c r="K74" s="81">
        <v>7000</v>
      </c>
      <c r="L74" s="81">
        <v>0</v>
      </c>
      <c r="M74" s="81">
        <v>0</v>
      </c>
      <c r="N74" s="81"/>
      <c r="O74" s="81"/>
      <c r="P74" s="81"/>
      <c r="Q74" s="81">
        <f t="shared" si="16"/>
        <v>7000</v>
      </c>
      <c r="R74" s="335"/>
    </row>
    <row r="75" spans="1:19" ht="259.5" customHeight="1">
      <c r="A75" s="329" t="s">
        <v>57</v>
      </c>
      <c r="B75" s="329"/>
      <c r="C75" s="115" t="s">
        <v>58</v>
      </c>
      <c r="D75" s="115" t="s">
        <v>56</v>
      </c>
      <c r="E75" s="76"/>
      <c r="F75" s="76"/>
      <c r="G75" s="77"/>
      <c r="H75" s="84"/>
      <c r="I75" s="83"/>
      <c r="J75" s="76"/>
      <c r="K75" s="81"/>
      <c r="L75" s="81"/>
      <c r="M75" s="81"/>
      <c r="N75" s="81"/>
      <c r="O75" s="81"/>
      <c r="P75" s="81"/>
      <c r="Q75" s="81">
        <f t="shared" si="16"/>
        <v>0</v>
      </c>
      <c r="R75" s="131" t="s">
        <v>86</v>
      </c>
    </row>
    <row r="76" spans="1:19" ht="288" customHeight="1">
      <c r="A76" s="310" t="s">
        <v>103</v>
      </c>
      <c r="B76" s="132"/>
      <c r="C76" s="333" t="s">
        <v>153</v>
      </c>
      <c r="D76" s="115" t="s">
        <v>56</v>
      </c>
      <c r="E76" s="76" t="s">
        <v>74</v>
      </c>
      <c r="F76" s="76" t="s">
        <v>27</v>
      </c>
      <c r="G76" s="77" t="s">
        <v>77</v>
      </c>
      <c r="H76" s="84" t="s">
        <v>16</v>
      </c>
      <c r="I76" s="83" t="s">
        <v>261</v>
      </c>
      <c r="J76" s="76" t="s">
        <v>80</v>
      </c>
      <c r="K76" s="81">
        <v>6181600</v>
      </c>
      <c r="L76" s="81">
        <v>0</v>
      </c>
      <c r="M76" s="81">
        <v>0</v>
      </c>
      <c r="N76" s="81"/>
      <c r="O76" s="81"/>
      <c r="P76" s="81"/>
      <c r="Q76" s="81">
        <f t="shared" si="16"/>
        <v>6181600</v>
      </c>
      <c r="R76" s="131" t="s">
        <v>156</v>
      </c>
      <c r="S76" s="9" t="s">
        <v>157</v>
      </c>
    </row>
    <row r="77" spans="1:19" s="24" customFormat="1" ht="106.5" customHeight="1">
      <c r="A77" s="73"/>
      <c r="B77" s="132"/>
      <c r="C77" s="498" t="s">
        <v>172</v>
      </c>
      <c r="D77" s="115" t="s">
        <v>56</v>
      </c>
      <c r="E77" s="128" t="s">
        <v>74</v>
      </c>
      <c r="F77" s="116" t="s">
        <v>27</v>
      </c>
      <c r="G77" s="129" t="s">
        <v>77</v>
      </c>
      <c r="H77" s="129" t="s">
        <v>16</v>
      </c>
      <c r="I77" s="128" t="s">
        <v>255</v>
      </c>
      <c r="J77" s="116" t="s">
        <v>78</v>
      </c>
      <c r="K77" s="81">
        <v>2920.72</v>
      </c>
      <c r="L77" s="81"/>
      <c r="M77" s="81"/>
      <c r="N77" s="81"/>
      <c r="O77" s="81"/>
      <c r="P77" s="81"/>
      <c r="Q77" s="81">
        <f t="shared" si="16"/>
        <v>2920.72</v>
      </c>
      <c r="R77" s="131"/>
    </row>
    <row r="78" spans="1:19" s="24" customFormat="1" ht="77.25" customHeight="1">
      <c r="A78" s="73"/>
      <c r="B78" s="132"/>
      <c r="C78" s="499"/>
      <c r="D78" s="115" t="s">
        <v>56</v>
      </c>
      <c r="E78" s="128" t="s">
        <v>74</v>
      </c>
      <c r="F78" s="116" t="s">
        <v>27</v>
      </c>
      <c r="G78" s="129" t="s">
        <v>77</v>
      </c>
      <c r="H78" s="129" t="s">
        <v>16</v>
      </c>
      <c r="I78" s="116" t="s">
        <v>255</v>
      </c>
      <c r="J78" s="116" t="s">
        <v>78</v>
      </c>
      <c r="K78" s="81">
        <v>42334.71</v>
      </c>
      <c r="L78" s="81"/>
      <c r="M78" s="81"/>
      <c r="N78" s="81"/>
      <c r="O78" s="81"/>
      <c r="P78" s="81"/>
      <c r="Q78" s="81">
        <f t="shared" si="16"/>
        <v>42334.71</v>
      </c>
      <c r="R78" s="131"/>
    </row>
    <row r="79" spans="1:19" s="56" customFormat="1" ht="101.25" customHeight="1">
      <c r="A79" s="418"/>
      <c r="B79" s="417"/>
      <c r="C79" s="440" t="s">
        <v>353</v>
      </c>
      <c r="D79" s="115" t="s">
        <v>56</v>
      </c>
      <c r="E79" s="128" t="s">
        <v>74</v>
      </c>
      <c r="F79" s="116" t="s">
        <v>27</v>
      </c>
      <c r="G79" s="129" t="s">
        <v>77</v>
      </c>
      <c r="H79" s="129" t="s">
        <v>16</v>
      </c>
      <c r="I79" s="116" t="s">
        <v>299</v>
      </c>
      <c r="J79" s="116" t="s">
        <v>80</v>
      </c>
      <c r="K79" s="81"/>
      <c r="L79" s="81"/>
      <c r="M79" s="81"/>
      <c r="N79" s="81">
        <v>68530</v>
      </c>
      <c r="O79" s="81"/>
      <c r="P79" s="81"/>
      <c r="Q79" s="81">
        <f>SUM(K79:P79)</f>
        <v>68530</v>
      </c>
      <c r="R79" s="131"/>
    </row>
    <row r="80" spans="1:19" ht="15.75" customHeight="1">
      <c r="A80" s="73"/>
      <c r="B80" s="73"/>
      <c r="C80" s="115" t="s">
        <v>15</v>
      </c>
      <c r="D80" s="69"/>
      <c r="E80" s="115"/>
      <c r="F80" s="115"/>
      <c r="G80" s="77"/>
      <c r="H80" s="78"/>
      <c r="I80" s="71"/>
      <c r="J80" s="115"/>
      <c r="K80" s="81">
        <f>SUM(K62:K78)</f>
        <v>36915910.470000006</v>
      </c>
      <c r="L80" s="81">
        <f>SUM(L62:L75)</f>
        <v>31875520.450000003</v>
      </c>
      <c r="M80" s="81">
        <f>SUM(M62:M75)</f>
        <v>32616021.970000003</v>
      </c>
      <c r="N80" s="81">
        <f>SUM(N62:N79)</f>
        <v>35079593.200000003</v>
      </c>
      <c r="O80" s="81">
        <f t="shared" ref="O80:P80" si="18">SUM(O62:O79)</f>
        <v>32239126.650000002</v>
      </c>
      <c r="P80" s="81">
        <f t="shared" si="18"/>
        <v>32239126.650000002</v>
      </c>
      <c r="Q80" s="81">
        <f>K80+L80+M80+N80+O80+P80</f>
        <v>200965299.39000005</v>
      </c>
      <c r="R80" s="91"/>
    </row>
    <row r="81" spans="1:19" ht="30" customHeight="1">
      <c r="A81" s="73" t="s">
        <v>16</v>
      </c>
      <c r="B81" s="74"/>
      <c r="C81" s="468" t="s">
        <v>59</v>
      </c>
      <c r="D81" s="469"/>
      <c r="E81" s="469"/>
      <c r="F81" s="469"/>
      <c r="G81" s="469"/>
      <c r="H81" s="469"/>
      <c r="I81" s="469"/>
      <c r="J81" s="469"/>
      <c r="K81" s="469"/>
      <c r="L81" s="469"/>
      <c r="M81" s="469"/>
      <c r="N81" s="469"/>
      <c r="O81" s="469"/>
      <c r="P81" s="469"/>
      <c r="Q81" s="470"/>
      <c r="R81" s="90"/>
    </row>
    <row r="82" spans="1:19" ht="32.25" customHeight="1">
      <c r="A82" s="458" t="s">
        <v>17</v>
      </c>
      <c r="B82" s="118"/>
      <c r="C82" s="474" t="s">
        <v>124</v>
      </c>
      <c r="D82" s="430" t="s">
        <v>56</v>
      </c>
      <c r="E82" s="76" t="s">
        <v>74</v>
      </c>
      <c r="F82" s="83" t="s">
        <v>27</v>
      </c>
      <c r="G82" s="84" t="s">
        <v>77</v>
      </c>
      <c r="H82" s="84" t="s">
        <v>16</v>
      </c>
      <c r="I82" s="83" t="s">
        <v>262</v>
      </c>
      <c r="J82" s="76" t="s">
        <v>80</v>
      </c>
      <c r="K82" s="133">
        <f>12000</f>
        <v>12000</v>
      </c>
      <c r="L82" s="133">
        <v>0</v>
      </c>
      <c r="M82" s="133">
        <v>0</v>
      </c>
      <c r="N82" s="133"/>
      <c r="O82" s="133"/>
      <c r="P82" s="133"/>
      <c r="Q82" s="133">
        <f>SUM(K82:M82)</f>
        <v>12000</v>
      </c>
      <c r="R82" s="465" t="s">
        <v>87</v>
      </c>
      <c r="S82" s="9" t="s">
        <v>0</v>
      </c>
    </row>
    <row r="83" spans="1:19" ht="33" customHeight="1">
      <c r="A83" s="464"/>
      <c r="B83" s="119"/>
      <c r="C83" s="497"/>
      <c r="D83" s="430" t="s">
        <v>56</v>
      </c>
      <c r="E83" s="76" t="s">
        <v>74</v>
      </c>
      <c r="F83" s="83" t="s">
        <v>27</v>
      </c>
      <c r="G83" s="84" t="s">
        <v>77</v>
      </c>
      <c r="H83" s="84" t="s">
        <v>16</v>
      </c>
      <c r="I83" s="83" t="s">
        <v>262</v>
      </c>
      <c r="J83" s="76" t="s">
        <v>80</v>
      </c>
      <c r="K83" s="133">
        <f>3400</f>
        <v>3400</v>
      </c>
      <c r="L83" s="133"/>
      <c r="M83" s="133"/>
      <c r="N83" s="133"/>
      <c r="O83" s="133"/>
      <c r="P83" s="133"/>
      <c r="Q83" s="133">
        <v>3400</v>
      </c>
      <c r="R83" s="466"/>
      <c r="S83" s="9" t="s">
        <v>148</v>
      </c>
    </row>
    <row r="84" spans="1:19" ht="82.5" customHeight="1">
      <c r="A84" s="459"/>
      <c r="B84" s="120"/>
      <c r="C84" s="475"/>
      <c r="D84" s="430" t="s">
        <v>56</v>
      </c>
      <c r="E84" s="76" t="s">
        <v>74</v>
      </c>
      <c r="F84" s="83" t="s">
        <v>75</v>
      </c>
      <c r="G84" s="84" t="s">
        <v>77</v>
      </c>
      <c r="H84" s="84" t="s">
        <v>16</v>
      </c>
      <c r="I84" s="83" t="s">
        <v>262</v>
      </c>
      <c r="J84" s="76" t="s">
        <v>80</v>
      </c>
      <c r="K84" s="133">
        <f>18200</f>
        <v>18200</v>
      </c>
      <c r="L84" s="133"/>
      <c r="M84" s="133"/>
      <c r="N84" s="133"/>
      <c r="O84" s="133"/>
      <c r="P84" s="133"/>
      <c r="Q84" s="133">
        <f t="shared" ref="Q84" si="19">SUM(K84:M84)</f>
        <v>18200</v>
      </c>
      <c r="R84" s="467"/>
      <c r="S84" s="9" t="s">
        <v>104</v>
      </c>
    </row>
    <row r="85" spans="1:19" ht="28.5" customHeight="1">
      <c r="A85" s="458" t="s">
        <v>72</v>
      </c>
      <c r="B85" s="308"/>
      <c r="C85" s="471" t="s">
        <v>152</v>
      </c>
      <c r="D85" s="430" t="s">
        <v>56</v>
      </c>
      <c r="E85" s="76" t="s">
        <v>74</v>
      </c>
      <c r="F85" s="83" t="s">
        <v>27</v>
      </c>
      <c r="G85" s="84" t="s">
        <v>77</v>
      </c>
      <c r="H85" s="84" t="s">
        <v>16</v>
      </c>
      <c r="I85" s="83" t="s">
        <v>263</v>
      </c>
      <c r="J85" s="76" t="s">
        <v>80</v>
      </c>
      <c r="K85" s="133">
        <f>1200000</f>
        <v>1200000</v>
      </c>
      <c r="L85" s="133">
        <v>200000</v>
      </c>
      <c r="M85" s="133">
        <v>350000</v>
      </c>
      <c r="N85" s="133"/>
      <c r="O85" s="133"/>
      <c r="P85" s="133"/>
      <c r="Q85" s="133">
        <f>SUM(K85:M85)</f>
        <v>1750000</v>
      </c>
      <c r="R85" s="131"/>
    </row>
    <row r="86" spans="1:19" ht="24" customHeight="1">
      <c r="A86" s="464"/>
      <c r="B86" s="309"/>
      <c r="C86" s="472"/>
      <c r="D86" s="430" t="s">
        <v>56</v>
      </c>
      <c r="E86" s="76" t="s">
        <v>74</v>
      </c>
      <c r="F86" s="83" t="s">
        <v>27</v>
      </c>
      <c r="G86" s="84" t="s">
        <v>77</v>
      </c>
      <c r="H86" s="84" t="s">
        <v>16</v>
      </c>
      <c r="I86" s="83" t="s">
        <v>263</v>
      </c>
      <c r="J86" s="76" t="s">
        <v>80</v>
      </c>
      <c r="K86" s="133">
        <f>340000</f>
        <v>340000</v>
      </c>
      <c r="L86" s="133"/>
      <c r="M86" s="133"/>
      <c r="N86" s="133"/>
      <c r="O86" s="133"/>
      <c r="P86" s="133"/>
      <c r="Q86" s="133">
        <v>340000</v>
      </c>
      <c r="R86" s="311"/>
    </row>
    <row r="87" spans="1:19" ht="53.25" customHeight="1">
      <c r="A87" s="464"/>
      <c r="B87" s="134"/>
      <c r="C87" s="472"/>
      <c r="D87" s="430" t="s">
        <v>56</v>
      </c>
      <c r="E87" s="76" t="s">
        <v>74</v>
      </c>
      <c r="F87" s="83" t="s">
        <v>75</v>
      </c>
      <c r="G87" s="84" t="s">
        <v>77</v>
      </c>
      <c r="H87" s="84" t="s">
        <v>16</v>
      </c>
      <c r="I87" s="83" t="s">
        <v>263</v>
      </c>
      <c r="J87" s="76" t="s">
        <v>80</v>
      </c>
      <c r="K87" s="133">
        <f>320000</f>
        <v>320000</v>
      </c>
      <c r="L87" s="133"/>
      <c r="M87" s="133">
        <v>200000</v>
      </c>
      <c r="N87" s="133"/>
      <c r="O87" s="133"/>
      <c r="P87" s="133"/>
      <c r="Q87" s="133">
        <f>K87+M87</f>
        <v>520000</v>
      </c>
      <c r="R87" s="311"/>
    </row>
    <row r="88" spans="1:19" s="50" customFormat="1" ht="90" customHeight="1">
      <c r="A88" s="459"/>
      <c r="B88" s="113"/>
      <c r="C88" s="473"/>
      <c r="D88" s="115" t="s">
        <v>56</v>
      </c>
      <c r="E88" s="92" t="s">
        <v>74</v>
      </c>
      <c r="F88" s="93" t="s">
        <v>27</v>
      </c>
      <c r="G88" s="94" t="s">
        <v>77</v>
      </c>
      <c r="H88" s="94" t="s">
        <v>16</v>
      </c>
      <c r="I88" s="111" t="s">
        <v>263</v>
      </c>
      <c r="J88" s="438" t="s">
        <v>28</v>
      </c>
      <c r="K88" s="164"/>
      <c r="L88" s="283"/>
      <c r="M88" s="283">
        <v>208000</v>
      </c>
      <c r="N88" s="283"/>
      <c r="O88" s="283"/>
      <c r="P88" s="283"/>
      <c r="Q88" s="283">
        <f t="shared" ref="Q88" si="20">SUM(K88:N88)</f>
        <v>208000</v>
      </c>
      <c r="R88" s="131"/>
    </row>
    <row r="89" spans="1:19" s="35" customFormat="1" ht="75" customHeight="1">
      <c r="A89" s="458" t="s">
        <v>73</v>
      </c>
      <c r="B89" s="458"/>
      <c r="C89" s="471" t="s">
        <v>217</v>
      </c>
      <c r="D89" s="430" t="s">
        <v>56</v>
      </c>
      <c r="E89" s="76" t="s">
        <v>74</v>
      </c>
      <c r="F89" s="83" t="s">
        <v>27</v>
      </c>
      <c r="G89" s="84" t="s">
        <v>77</v>
      </c>
      <c r="H89" s="84" t="s">
        <v>16</v>
      </c>
      <c r="I89" s="85" t="s">
        <v>262</v>
      </c>
      <c r="J89" s="76" t="s">
        <v>80</v>
      </c>
      <c r="K89" s="133"/>
      <c r="L89" s="133">
        <v>2000</v>
      </c>
      <c r="M89" s="133">
        <f>3500+2100+1600</f>
        <v>7200</v>
      </c>
      <c r="N89" s="133"/>
      <c r="O89" s="133"/>
      <c r="P89" s="133"/>
      <c r="Q89" s="133">
        <f t="shared" ref="Q89:Q90" si="21">SUM(K89:M89)</f>
        <v>9200</v>
      </c>
      <c r="R89" s="124"/>
    </row>
    <row r="90" spans="1:19" s="49" customFormat="1" ht="66.75" customHeight="1">
      <c r="A90" s="464"/>
      <c r="B90" s="464"/>
      <c r="C90" s="472"/>
      <c r="D90" s="284" t="s">
        <v>56</v>
      </c>
      <c r="E90" s="285" t="s">
        <v>74</v>
      </c>
      <c r="F90" s="141" t="s">
        <v>75</v>
      </c>
      <c r="G90" s="286" t="s">
        <v>77</v>
      </c>
      <c r="H90" s="286" t="s">
        <v>16</v>
      </c>
      <c r="I90" s="141" t="s">
        <v>262</v>
      </c>
      <c r="J90" s="285" t="s">
        <v>80</v>
      </c>
      <c r="K90" s="133"/>
      <c r="L90" s="133"/>
      <c r="M90" s="133">
        <f>2000+2100</f>
        <v>4100</v>
      </c>
      <c r="N90" s="133"/>
      <c r="O90" s="133"/>
      <c r="P90" s="133"/>
      <c r="Q90" s="133">
        <f t="shared" si="21"/>
        <v>4100</v>
      </c>
      <c r="R90" s="124"/>
    </row>
    <row r="91" spans="1:19" s="50" customFormat="1" ht="105.75" customHeight="1">
      <c r="A91" s="459"/>
      <c r="B91" s="459"/>
      <c r="C91" s="473"/>
      <c r="D91" s="287" t="s">
        <v>56</v>
      </c>
      <c r="E91" s="288" t="s">
        <v>74</v>
      </c>
      <c r="F91" s="289" t="s">
        <v>27</v>
      </c>
      <c r="G91" s="289" t="s">
        <v>77</v>
      </c>
      <c r="H91" s="290" t="s">
        <v>16</v>
      </c>
      <c r="I91" s="291" t="s">
        <v>262</v>
      </c>
      <c r="J91" s="141" t="s">
        <v>28</v>
      </c>
      <c r="K91" s="287"/>
      <c r="L91" s="287"/>
      <c r="M91" s="287">
        <f>4206+94</f>
        <v>4300</v>
      </c>
      <c r="N91" s="287"/>
      <c r="O91" s="287"/>
      <c r="P91" s="287"/>
      <c r="Q91" s="287">
        <f>M91</f>
        <v>4300</v>
      </c>
      <c r="R91" s="124"/>
    </row>
    <row r="92" spans="1:19" ht="27" customHeight="1">
      <c r="A92" s="73"/>
      <c r="B92" s="73"/>
      <c r="C92" s="115" t="s">
        <v>18</v>
      </c>
      <c r="D92" s="69"/>
      <c r="E92" s="115"/>
      <c r="F92" s="115"/>
      <c r="G92" s="77"/>
      <c r="H92" s="78"/>
      <c r="I92" s="71"/>
      <c r="J92" s="115"/>
      <c r="K92" s="133">
        <f>SUM(K82:K87)</f>
        <v>1893600</v>
      </c>
      <c r="L92" s="133">
        <f>SUM(L82:L89)</f>
        <v>202000</v>
      </c>
      <c r="M92" s="133">
        <f>SUM(M82:M91)</f>
        <v>773600</v>
      </c>
      <c r="N92" s="133">
        <f>SUM(N82:N87)</f>
        <v>0</v>
      </c>
      <c r="O92" s="133"/>
      <c r="P92" s="133"/>
      <c r="Q92" s="133">
        <f>SUM(Q82:Q91)</f>
        <v>2869200</v>
      </c>
      <c r="R92" s="91"/>
    </row>
    <row r="93" spans="1:19" ht="18.75" customHeight="1">
      <c r="A93" s="73" t="s">
        <v>19</v>
      </c>
      <c r="B93" s="74"/>
      <c r="C93" s="468" t="s">
        <v>222</v>
      </c>
      <c r="D93" s="469"/>
      <c r="E93" s="469"/>
      <c r="F93" s="469"/>
      <c r="G93" s="469"/>
      <c r="H93" s="469"/>
      <c r="I93" s="469"/>
      <c r="J93" s="469"/>
      <c r="K93" s="469"/>
      <c r="L93" s="469"/>
      <c r="M93" s="469"/>
      <c r="N93" s="469"/>
      <c r="O93" s="469"/>
      <c r="P93" s="469"/>
      <c r="Q93" s="470"/>
      <c r="R93" s="90"/>
    </row>
    <row r="94" spans="1:19">
      <c r="A94" s="458" t="s">
        <v>20</v>
      </c>
      <c r="B94" s="118"/>
      <c r="C94" s="481" t="s">
        <v>60</v>
      </c>
      <c r="D94" s="430" t="s">
        <v>56</v>
      </c>
      <c r="E94" s="76" t="s">
        <v>74</v>
      </c>
      <c r="F94" s="83" t="s">
        <v>27</v>
      </c>
      <c r="G94" s="84" t="s">
        <v>77</v>
      </c>
      <c r="H94" s="84" t="s">
        <v>16</v>
      </c>
      <c r="I94" s="93" t="s">
        <v>248</v>
      </c>
      <c r="J94" s="76" t="s">
        <v>28</v>
      </c>
      <c r="K94" s="81">
        <v>2126280</v>
      </c>
      <c r="L94" s="81">
        <v>0</v>
      </c>
      <c r="M94" s="81">
        <v>0</v>
      </c>
      <c r="N94" s="81">
        <v>0</v>
      </c>
      <c r="O94" s="81"/>
      <c r="P94" s="81"/>
      <c r="Q94" s="81">
        <f>SUM(K94:N94)</f>
        <v>2126280</v>
      </c>
      <c r="R94" s="465" t="s">
        <v>96</v>
      </c>
      <c r="S94" s="30" t="s">
        <v>184</v>
      </c>
    </row>
    <row r="95" spans="1:19">
      <c r="A95" s="464"/>
      <c r="B95" s="119"/>
      <c r="C95" s="482"/>
      <c r="D95" s="430" t="s">
        <v>56</v>
      </c>
      <c r="E95" s="76" t="s">
        <v>74</v>
      </c>
      <c r="F95" s="83" t="s">
        <v>27</v>
      </c>
      <c r="G95" s="84" t="s">
        <v>77</v>
      </c>
      <c r="H95" s="84" t="s">
        <v>16</v>
      </c>
      <c r="I95" s="93" t="s">
        <v>248</v>
      </c>
      <c r="J95" s="76" t="s">
        <v>28</v>
      </c>
      <c r="K95" s="81">
        <v>662220</v>
      </c>
      <c r="L95" s="81">
        <f>345000+65100+10000</f>
        <v>420100</v>
      </c>
      <c r="M95" s="81">
        <f>75500+30000-250+30000+30000+20000</f>
        <v>185250</v>
      </c>
      <c r="N95" s="81">
        <f>120000+59750</f>
        <v>179750</v>
      </c>
      <c r="O95" s="81">
        <f t="shared" ref="O95:P95" si="22">120000+59750</f>
        <v>179750</v>
      </c>
      <c r="P95" s="81">
        <f t="shared" si="22"/>
        <v>179750</v>
      </c>
      <c r="Q95" s="81">
        <f>SUM(K95:P95)</f>
        <v>1806820</v>
      </c>
      <c r="R95" s="466"/>
    </row>
    <row r="96" spans="1:19">
      <c r="A96" s="464"/>
      <c r="B96" s="119"/>
      <c r="C96" s="482"/>
      <c r="D96" s="430" t="s">
        <v>56</v>
      </c>
      <c r="E96" s="76" t="s">
        <v>74</v>
      </c>
      <c r="F96" s="83" t="s">
        <v>75</v>
      </c>
      <c r="G96" s="84" t="s">
        <v>77</v>
      </c>
      <c r="H96" s="84" t="s">
        <v>16</v>
      </c>
      <c r="I96" s="93" t="s">
        <v>248</v>
      </c>
      <c r="J96" s="76" t="s">
        <v>80</v>
      </c>
      <c r="K96" s="81">
        <v>18500</v>
      </c>
      <c r="L96" s="81">
        <f>20000-2050</f>
        <v>17950</v>
      </c>
      <c r="M96" s="81">
        <f>20000-2000-2100-721.7</f>
        <v>15178.3</v>
      </c>
      <c r="N96" s="81">
        <v>20000</v>
      </c>
      <c r="O96" s="81">
        <v>20000</v>
      </c>
      <c r="P96" s="81">
        <v>20000</v>
      </c>
      <c r="Q96" s="81">
        <f>SUM(K96:P96)</f>
        <v>111628.3</v>
      </c>
      <c r="R96" s="466"/>
    </row>
    <row r="97" spans="1:18" ht="42.75" customHeight="1">
      <c r="A97" s="464"/>
      <c r="B97" s="119"/>
      <c r="C97" s="482"/>
      <c r="D97" s="430" t="s">
        <v>56</v>
      </c>
      <c r="E97" s="426" t="s">
        <v>74</v>
      </c>
      <c r="F97" s="429" t="s">
        <v>27</v>
      </c>
      <c r="G97" s="428" t="s">
        <v>77</v>
      </c>
      <c r="H97" s="428" t="s">
        <v>16</v>
      </c>
      <c r="I97" s="93" t="s">
        <v>248</v>
      </c>
      <c r="J97" s="426" t="s">
        <v>80</v>
      </c>
      <c r="K97" s="81"/>
      <c r="L97" s="81">
        <f>1591000+20000+50000-546-2000+80000-80000-37559</f>
        <v>1620895</v>
      </c>
      <c r="M97" s="81">
        <v>1482800</v>
      </c>
      <c r="N97" s="81">
        <f>1067000+110000+103000-13300+150000-239005.02</f>
        <v>1177694.98</v>
      </c>
      <c r="O97" s="81">
        <f t="shared" ref="O97:P97" si="23">1067000+110000+103000</f>
        <v>1280000</v>
      </c>
      <c r="P97" s="81">
        <f t="shared" si="23"/>
        <v>1280000</v>
      </c>
      <c r="Q97" s="81">
        <f>SUM(K97:P97)</f>
        <v>6841389.9800000004</v>
      </c>
      <c r="R97" s="466"/>
    </row>
    <row r="98" spans="1:18" ht="30" hidden="1">
      <c r="A98" s="464"/>
      <c r="B98" s="119"/>
      <c r="C98" s="482"/>
      <c r="D98" s="430" t="s">
        <v>162</v>
      </c>
      <c r="E98" s="76" t="s">
        <v>74</v>
      </c>
      <c r="F98" s="76" t="s">
        <v>27</v>
      </c>
      <c r="G98" s="77" t="s">
        <v>77</v>
      </c>
      <c r="H98" s="84" t="s">
        <v>16</v>
      </c>
      <c r="I98" s="83" t="s">
        <v>99</v>
      </c>
      <c r="J98" s="76" t="s">
        <v>80</v>
      </c>
      <c r="K98" s="81">
        <v>0</v>
      </c>
      <c r="L98" s="81">
        <f>15000+10000+20000+20000+10000+33000+10000+15000+869000+10000+20000+30000+16000+20000</f>
        <v>1098000</v>
      </c>
      <c r="M98" s="81">
        <f>15000+10000+20000+20000+10000+33000+10000+15000+869000+10000+20000+30000+16000+20000+200000</f>
        <v>1298000</v>
      </c>
      <c r="N98" s="81">
        <f>15000+10000+20000+20000+10000+33000+10000+15000+869000+10000+20000+30000+16000+20000+200000</f>
        <v>1298000</v>
      </c>
      <c r="O98" s="81">
        <f>15000+10000+20000+20000+10000+33000+10000+15000+869000+10000+20000+30000+16000+20000+200000</f>
        <v>1298000</v>
      </c>
      <c r="P98" s="81"/>
      <c r="Q98" s="81">
        <f t="shared" ref="Q98:Q108" si="24">SUM(K98:O98)</f>
        <v>4992000</v>
      </c>
      <c r="R98" s="466"/>
    </row>
    <row r="99" spans="1:18" hidden="1">
      <c r="A99" s="464"/>
      <c r="B99" s="119"/>
      <c r="C99" s="482"/>
      <c r="D99" s="430" t="s">
        <v>165</v>
      </c>
      <c r="E99" s="76" t="s">
        <v>74</v>
      </c>
      <c r="F99" s="83" t="s">
        <v>27</v>
      </c>
      <c r="G99" s="84" t="s">
        <v>77</v>
      </c>
      <c r="H99" s="84" t="s">
        <v>16</v>
      </c>
      <c r="I99" s="83" t="s">
        <v>99</v>
      </c>
      <c r="J99" s="76" t="s">
        <v>80</v>
      </c>
      <c r="K99" s="81">
        <v>0</v>
      </c>
      <c r="L99" s="81">
        <v>110000</v>
      </c>
      <c r="M99" s="81">
        <v>110000</v>
      </c>
      <c r="N99" s="81">
        <v>110000</v>
      </c>
      <c r="O99" s="81">
        <v>110000</v>
      </c>
      <c r="P99" s="81"/>
      <c r="Q99" s="81">
        <f t="shared" si="24"/>
        <v>440000</v>
      </c>
      <c r="R99" s="466"/>
    </row>
    <row r="100" spans="1:18" hidden="1">
      <c r="A100" s="464"/>
      <c r="B100" s="119"/>
      <c r="C100" s="482"/>
      <c r="D100" s="430" t="s">
        <v>163</v>
      </c>
      <c r="E100" s="76" t="s">
        <v>74</v>
      </c>
      <c r="F100" s="83" t="s">
        <v>27</v>
      </c>
      <c r="G100" s="84" t="s">
        <v>77</v>
      </c>
      <c r="H100" s="84" t="s">
        <v>16</v>
      </c>
      <c r="I100" s="83" t="s">
        <v>99</v>
      </c>
      <c r="J100" s="76" t="s">
        <v>80</v>
      </c>
      <c r="K100" s="81">
        <v>0</v>
      </c>
      <c r="L100" s="81">
        <f>60000+20000+28000+15000</f>
        <v>123000</v>
      </c>
      <c r="M100" s="81">
        <f t="shared" ref="M100:O100" si="25">60000+20000+28000+15000</f>
        <v>123000</v>
      </c>
      <c r="N100" s="81">
        <f t="shared" si="25"/>
        <v>123000</v>
      </c>
      <c r="O100" s="81">
        <f t="shared" si="25"/>
        <v>123000</v>
      </c>
      <c r="P100" s="81"/>
      <c r="Q100" s="81">
        <f t="shared" si="24"/>
        <v>492000</v>
      </c>
      <c r="R100" s="466"/>
    </row>
    <row r="101" spans="1:18" hidden="1">
      <c r="A101" s="464"/>
      <c r="B101" s="119"/>
      <c r="C101" s="482"/>
      <c r="D101" s="430" t="s">
        <v>164</v>
      </c>
      <c r="E101" s="76" t="s">
        <v>74</v>
      </c>
      <c r="F101" s="83" t="s">
        <v>27</v>
      </c>
      <c r="G101" s="84" t="s">
        <v>77</v>
      </c>
      <c r="H101" s="84" t="s">
        <v>16</v>
      </c>
      <c r="I101" s="83" t="s">
        <v>99</v>
      </c>
      <c r="J101" s="76" t="s">
        <v>80</v>
      </c>
      <c r="K101" s="81">
        <v>0</v>
      </c>
      <c r="L101" s="81">
        <f>10000+20000+15000</f>
        <v>45000</v>
      </c>
      <c r="M101" s="81">
        <f t="shared" ref="M101:O101" si="26">10000+20000+15000</f>
        <v>45000</v>
      </c>
      <c r="N101" s="81">
        <f t="shared" si="26"/>
        <v>45000</v>
      </c>
      <c r="O101" s="81">
        <f t="shared" si="26"/>
        <v>45000</v>
      </c>
      <c r="P101" s="81"/>
      <c r="Q101" s="81">
        <f t="shared" si="24"/>
        <v>180000</v>
      </c>
      <c r="R101" s="466"/>
    </row>
    <row r="102" spans="1:18" ht="30" hidden="1">
      <c r="A102" s="464"/>
      <c r="B102" s="119"/>
      <c r="C102" s="482"/>
      <c r="D102" s="430" t="s">
        <v>166</v>
      </c>
      <c r="E102" s="426" t="s">
        <v>74</v>
      </c>
      <c r="F102" s="429" t="s">
        <v>75</v>
      </c>
      <c r="G102" s="428" t="s">
        <v>77</v>
      </c>
      <c r="H102" s="428" t="s">
        <v>16</v>
      </c>
      <c r="I102" s="429" t="s">
        <v>99</v>
      </c>
      <c r="J102" s="426" t="s">
        <v>80</v>
      </c>
      <c r="K102" s="149">
        <v>18500</v>
      </c>
      <c r="L102" s="149">
        <f>10000+10000</f>
        <v>20000</v>
      </c>
      <c r="M102" s="149">
        <f t="shared" ref="M102:O102" si="27">10000+10000</f>
        <v>20000</v>
      </c>
      <c r="N102" s="149">
        <f t="shared" si="27"/>
        <v>20000</v>
      </c>
      <c r="O102" s="149">
        <f t="shared" si="27"/>
        <v>20000</v>
      </c>
      <c r="P102" s="149"/>
      <c r="Q102" s="81">
        <f t="shared" si="24"/>
        <v>98500</v>
      </c>
      <c r="R102" s="466"/>
    </row>
    <row r="103" spans="1:18" ht="15.75" customHeight="1">
      <c r="A103" s="458" t="s">
        <v>98</v>
      </c>
      <c r="B103" s="118"/>
      <c r="C103" s="474" t="s">
        <v>114</v>
      </c>
      <c r="D103" s="474" t="s">
        <v>56</v>
      </c>
      <c r="E103" s="487" t="s">
        <v>74</v>
      </c>
      <c r="F103" s="487" t="s">
        <v>27</v>
      </c>
      <c r="G103" s="489" t="s">
        <v>77</v>
      </c>
      <c r="H103" s="491" t="s">
        <v>16</v>
      </c>
      <c r="I103" s="493" t="s">
        <v>247</v>
      </c>
      <c r="J103" s="487" t="s">
        <v>28</v>
      </c>
      <c r="K103" s="479">
        <f>300000-29040-15000-100000-33600</f>
        <v>122360</v>
      </c>
      <c r="L103" s="479">
        <v>0</v>
      </c>
      <c r="M103" s="479">
        <v>0</v>
      </c>
      <c r="N103" s="479"/>
      <c r="O103" s="479"/>
      <c r="P103" s="479"/>
      <c r="Q103" s="479">
        <f t="shared" si="24"/>
        <v>122360</v>
      </c>
      <c r="R103" s="150"/>
    </row>
    <row r="104" spans="1:18" ht="117.75" customHeight="1">
      <c r="A104" s="459"/>
      <c r="B104" s="120"/>
      <c r="C104" s="475"/>
      <c r="D104" s="475"/>
      <c r="E104" s="488"/>
      <c r="F104" s="488"/>
      <c r="G104" s="490"/>
      <c r="H104" s="492"/>
      <c r="I104" s="494"/>
      <c r="J104" s="488"/>
      <c r="K104" s="480"/>
      <c r="L104" s="480"/>
      <c r="M104" s="480"/>
      <c r="N104" s="480"/>
      <c r="O104" s="480"/>
      <c r="P104" s="480"/>
      <c r="Q104" s="480"/>
      <c r="R104" s="151"/>
    </row>
    <row r="105" spans="1:18" s="56" customFormat="1" ht="270.75" customHeight="1">
      <c r="A105" s="378" t="s">
        <v>300</v>
      </c>
      <c r="B105" s="353"/>
      <c r="C105" s="90" t="s">
        <v>337</v>
      </c>
      <c r="D105" s="115" t="s">
        <v>56</v>
      </c>
      <c r="E105" s="92" t="s">
        <v>74</v>
      </c>
      <c r="F105" s="93" t="s">
        <v>27</v>
      </c>
      <c r="G105" s="94" t="s">
        <v>77</v>
      </c>
      <c r="H105" s="94" t="s">
        <v>16</v>
      </c>
      <c r="I105" s="93" t="s">
        <v>336</v>
      </c>
      <c r="J105" s="438" t="s">
        <v>80</v>
      </c>
      <c r="K105" s="154"/>
      <c r="L105" s="154"/>
      <c r="M105" s="154"/>
      <c r="N105" s="154">
        <f>752800</f>
        <v>752800</v>
      </c>
      <c r="O105" s="154"/>
      <c r="P105" s="154"/>
      <c r="Q105" s="81">
        <f t="shared" si="24"/>
        <v>752800</v>
      </c>
      <c r="R105" s="151"/>
    </row>
    <row r="106" spans="1:18" s="56" customFormat="1" ht="270.75" customHeight="1">
      <c r="A106" s="378" t="s">
        <v>315</v>
      </c>
      <c r="B106" s="378"/>
      <c r="C106" s="425" t="s">
        <v>316</v>
      </c>
      <c r="D106" s="115" t="s">
        <v>56</v>
      </c>
      <c r="E106" s="92" t="s">
        <v>74</v>
      </c>
      <c r="F106" s="93" t="s">
        <v>27</v>
      </c>
      <c r="G106" s="94" t="s">
        <v>77</v>
      </c>
      <c r="H106" s="94" t="s">
        <v>16</v>
      </c>
      <c r="I106" s="93" t="s">
        <v>317</v>
      </c>
      <c r="J106" s="438" t="s">
        <v>80</v>
      </c>
      <c r="K106" s="154"/>
      <c r="L106" s="154"/>
      <c r="M106" s="154"/>
      <c r="N106" s="154">
        <f>2112480</f>
        <v>2112480</v>
      </c>
      <c r="O106" s="154"/>
      <c r="P106" s="154"/>
      <c r="Q106" s="81">
        <f t="shared" si="24"/>
        <v>2112480</v>
      </c>
      <c r="R106" s="151"/>
    </row>
    <row r="107" spans="1:18" s="56" customFormat="1" ht="270.75" customHeight="1">
      <c r="A107" s="378" t="s">
        <v>318</v>
      </c>
      <c r="B107" s="378"/>
      <c r="C107" s="425" t="s">
        <v>316</v>
      </c>
      <c r="D107" s="115" t="s">
        <v>56</v>
      </c>
      <c r="E107" s="92" t="s">
        <v>74</v>
      </c>
      <c r="F107" s="93" t="s">
        <v>27</v>
      </c>
      <c r="G107" s="94" t="s">
        <v>77</v>
      </c>
      <c r="H107" s="94" t="s">
        <v>16</v>
      </c>
      <c r="I107" s="93" t="s">
        <v>317</v>
      </c>
      <c r="J107" s="438" t="s">
        <v>80</v>
      </c>
      <c r="K107" s="154"/>
      <c r="L107" s="154"/>
      <c r="M107" s="154"/>
      <c r="N107" s="154">
        <v>234720</v>
      </c>
      <c r="O107" s="154"/>
      <c r="P107" s="154"/>
      <c r="Q107" s="81">
        <f t="shared" si="24"/>
        <v>234720</v>
      </c>
      <c r="R107" s="151"/>
    </row>
    <row r="108" spans="1:18" s="56" customFormat="1" ht="328.5" customHeight="1">
      <c r="A108" s="380" t="s">
        <v>319</v>
      </c>
      <c r="B108" s="380"/>
      <c r="C108" s="90" t="s">
        <v>321</v>
      </c>
      <c r="D108" s="115" t="s">
        <v>56</v>
      </c>
      <c r="E108" s="383" t="s">
        <v>74</v>
      </c>
      <c r="F108" s="384" t="s">
        <v>27</v>
      </c>
      <c r="G108" s="385" t="s">
        <v>77</v>
      </c>
      <c r="H108" s="385" t="s">
        <v>16</v>
      </c>
      <c r="I108" s="384" t="s">
        <v>320</v>
      </c>
      <c r="J108" s="419" t="s">
        <v>80</v>
      </c>
      <c r="K108" s="154"/>
      <c r="L108" s="154"/>
      <c r="M108" s="154"/>
      <c r="N108" s="154">
        <f>13300</f>
        <v>13300</v>
      </c>
      <c r="O108" s="154"/>
      <c r="P108" s="154"/>
      <c r="Q108" s="81">
        <f t="shared" si="24"/>
        <v>13300</v>
      </c>
      <c r="R108" s="151"/>
    </row>
    <row r="109" spans="1:18" s="56" customFormat="1" ht="333.75" customHeight="1">
      <c r="A109" s="387" t="s">
        <v>322</v>
      </c>
      <c r="B109" s="387"/>
      <c r="C109" s="90" t="s">
        <v>323</v>
      </c>
      <c r="D109" s="115" t="s">
        <v>56</v>
      </c>
      <c r="E109" s="383" t="s">
        <v>74</v>
      </c>
      <c r="F109" s="384" t="s">
        <v>27</v>
      </c>
      <c r="G109" s="385" t="s">
        <v>77</v>
      </c>
      <c r="H109" s="385" t="s">
        <v>16</v>
      </c>
      <c r="I109" s="384" t="s">
        <v>324</v>
      </c>
      <c r="J109" s="419" t="s">
        <v>80</v>
      </c>
      <c r="K109" s="154"/>
      <c r="L109" s="154"/>
      <c r="M109" s="154"/>
      <c r="N109" s="154">
        <f>1329000</f>
        <v>1329000</v>
      </c>
      <c r="O109" s="154"/>
      <c r="P109" s="154"/>
      <c r="Q109" s="81">
        <v>1329000</v>
      </c>
      <c r="R109" s="151"/>
    </row>
    <row r="110" spans="1:18" s="56" customFormat="1" ht="333.75" customHeight="1">
      <c r="A110" s="406" t="s">
        <v>344</v>
      </c>
      <c r="B110" s="406"/>
      <c r="C110" s="90" t="s">
        <v>346</v>
      </c>
      <c r="D110" s="90" t="s">
        <v>56</v>
      </c>
      <c r="E110" s="92" t="s">
        <v>74</v>
      </c>
      <c r="F110" s="93" t="s">
        <v>27</v>
      </c>
      <c r="G110" s="94" t="s">
        <v>77</v>
      </c>
      <c r="H110" s="94" t="s">
        <v>16</v>
      </c>
      <c r="I110" s="93" t="s">
        <v>345</v>
      </c>
      <c r="J110" s="438" t="s">
        <v>80</v>
      </c>
      <c r="K110" s="154"/>
      <c r="L110" s="154"/>
      <c r="M110" s="154"/>
      <c r="N110" s="154">
        <f>3000000-3000000</f>
        <v>0</v>
      </c>
      <c r="O110" s="154"/>
      <c r="P110" s="154"/>
      <c r="Q110" s="81">
        <f>N110</f>
        <v>0</v>
      </c>
      <c r="R110" s="151"/>
    </row>
    <row r="111" spans="1:18" ht="32.25" customHeight="1">
      <c r="A111" s="120"/>
      <c r="B111" s="120"/>
      <c r="C111" s="431" t="s">
        <v>21</v>
      </c>
      <c r="D111" s="425"/>
      <c r="E111" s="431"/>
      <c r="F111" s="431"/>
      <c r="G111" s="427"/>
      <c r="H111" s="152"/>
      <c r="I111" s="153"/>
      <c r="J111" s="431"/>
      <c r="K111" s="154">
        <f>K94+K95+K96+K97+K103+K104</f>
        <v>2929360</v>
      </c>
      <c r="L111" s="154">
        <f>SUM(L95:L97)</f>
        <v>2058945</v>
      </c>
      <c r="M111" s="154">
        <f>SUM(M95:M97)</f>
        <v>1683228.3</v>
      </c>
      <c r="N111" s="154">
        <f>N95+N96+N97+N103+N105+N106+N107+N108+N109+N110</f>
        <v>5819744.9800000004</v>
      </c>
      <c r="O111" s="154">
        <f t="shared" ref="O111:P111" si="28">SUM(O95:O97)</f>
        <v>1479750</v>
      </c>
      <c r="P111" s="154">
        <f t="shared" si="28"/>
        <v>1479750</v>
      </c>
      <c r="Q111" s="81">
        <f>SUM(K111:P111)</f>
        <v>15450778.280000001</v>
      </c>
      <c r="R111" s="91"/>
    </row>
    <row r="112" spans="1:18" ht="45">
      <c r="A112" s="458" t="s">
        <v>19</v>
      </c>
      <c r="B112" s="476" t="s">
        <v>53</v>
      </c>
      <c r="C112" s="484" t="s">
        <v>195</v>
      </c>
      <c r="D112" s="69" t="s">
        <v>141</v>
      </c>
      <c r="E112" s="70"/>
      <c r="F112" s="70"/>
      <c r="G112" s="70"/>
      <c r="H112" s="70"/>
      <c r="I112" s="70"/>
      <c r="J112" s="70"/>
      <c r="K112" s="72">
        <f t="shared" ref="K112:P112" si="29">K133+K136+K147+K173+K186</f>
        <v>13644150.699999999</v>
      </c>
      <c r="L112" s="72">
        <f t="shared" si="29"/>
        <v>15354612.059999999</v>
      </c>
      <c r="M112" s="72">
        <f t="shared" si="29"/>
        <v>13714969.579999996</v>
      </c>
      <c r="N112" s="72">
        <f t="shared" si="29"/>
        <v>29196081.970000003</v>
      </c>
      <c r="O112" s="72">
        <f t="shared" si="29"/>
        <v>12456691.630000001</v>
      </c>
      <c r="P112" s="72">
        <f t="shared" si="29"/>
        <v>12456691.630000001</v>
      </c>
      <c r="Q112" s="121">
        <f>SUM(K112:P112)</f>
        <v>96823197.569999993</v>
      </c>
      <c r="R112" s="90"/>
    </row>
    <row r="113" spans="1:19">
      <c r="A113" s="464"/>
      <c r="B113" s="477"/>
      <c r="C113" s="485"/>
      <c r="D113" s="69" t="s">
        <v>25</v>
      </c>
      <c r="E113" s="70"/>
      <c r="F113" s="70"/>
      <c r="G113" s="70"/>
      <c r="H113" s="70"/>
      <c r="I113" s="70"/>
      <c r="J113" s="70"/>
      <c r="K113" s="72"/>
      <c r="L113" s="70"/>
      <c r="M113" s="70"/>
      <c r="N113" s="70"/>
      <c r="O113" s="70"/>
      <c r="P113" s="70"/>
      <c r="Q113" s="121">
        <f t="shared" ref="Q113:Q117" si="30">SUM(K113:O113)</f>
        <v>0</v>
      </c>
      <c r="R113" s="90"/>
    </row>
    <row r="114" spans="1:19" s="54" customFormat="1" ht="45">
      <c r="A114" s="464"/>
      <c r="B114" s="477"/>
      <c r="C114" s="485"/>
      <c r="D114" s="69" t="s">
        <v>287</v>
      </c>
      <c r="E114" s="70" t="s">
        <v>48</v>
      </c>
      <c r="F114" s="70" t="s">
        <v>48</v>
      </c>
      <c r="G114" s="70" t="s">
        <v>48</v>
      </c>
      <c r="H114" s="70" t="s">
        <v>48</v>
      </c>
      <c r="I114" s="70" t="s">
        <v>48</v>
      </c>
      <c r="J114" s="70" t="s">
        <v>48</v>
      </c>
      <c r="K114" s="72"/>
      <c r="L114" s="70"/>
      <c r="M114" s="72">
        <f>M131</f>
        <v>35360</v>
      </c>
      <c r="N114" s="70"/>
      <c r="O114" s="70"/>
      <c r="P114" s="70"/>
      <c r="Q114" s="121">
        <f t="shared" si="30"/>
        <v>35360</v>
      </c>
      <c r="R114" s="90"/>
    </row>
    <row r="115" spans="1:19" ht="63.75" customHeight="1">
      <c r="A115" s="464"/>
      <c r="B115" s="477"/>
      <c r="C115" s="485"/>
      <c r="D115" s="69" t="s">
        <v>192</v>
      </c>
      <c r="E115" s="70" t="s">
        <v>48</v>
      </c>
      <c r="F115" s="70" t="s">
        <v>48</v>
      </c>
      <c r="G115" s="70" t="s">
        <v>48</v>
      </c>
      <c r="H115" s="70" t="s">
        <v>48</v>
      </c>
      <c r="I115" s="70" t="s">
        <v>48</v>
      </c>
      <c r="J115" s="70" t="s">
        <v>48</v>
      </c>
      <c r="K115" s="72">
        <f>425269.2+65974.35+400000+76955.72</f>
        <v>968199.27</v>
      </c>
      <c r="L115" s="72">
        <f>L121+L123+L125+L129+L164+L165+L166+L183</f>
        <v>1262658.05</v>
      </c>
      <c r="M115" s="72">
        <f>M121+M123+M125+M158+M184+M185</f>
        <v>877730.3</v>
      </c>
      <c r="N115" s="72">
        <f>N121+N123+N169+N170+N124+N145+N184+N185</f>
        <v>12946124.140000001</v>
      </c>
      <c r="O115" s="72"/>
      <c r="P115" s="72"/>
      <c r="Q115" s="121">
        <f t="shared" si="30"/>
        <v>16054711.760000002</v>
      </c>
      <c r="R115" s="90"/>
    </row>
    <row r="116" spans="1:19" ht="64.5" customHeight="1">
      <c r="A116" s="464"/>
      <c r="B116" s="477"/>
      <c r="C116" s="485"/>
      <c r="D116" s="69" t="s">
        <v>193</v>
      </c>
      <c r="E116" s="70" t="s">
        <v>48</v>
      </c>
      <c r="F116" s="70" t="s">
        <v>48</v>
      </c>
      <c r="G116" s="70" t="s">
        <v>48</v>
      </c>
      <c r="H116" s="70" t="s">
        <v>48</v>
      </c>
      <c r="I116" s="70" t="s">
        <v>48</v>
      </c>
      <c r="J116" s="70" t="s">
        <v>48</v>
      </c>
      <c r="K116" s="72">
        <f>K133+K136+K147+K173+K186-K115</f>
        <v>12675951.43</v>
      </c>
      <c r="L116" s="72">
        <f>L133+L136+L147+L173+L186-L115</f>
        <v>14091954.009999998</v>
      </c>
      <c r="M116" s="72">
        <v>12801879.279999999</v>
      </c>
      <c r="N116" s="72">
        <f>N133+N136+N147+N173+N186-N115</f>
        <v>16249957.830000002</v>
      </c>
      <c r="O116" s="72">
        <f>O133+O136+O147+O173+O186-O115</f>
        <v>12456691.630000001</v>
      </c>
      <c r="P116" s="72">
        <f>P133+P136+P147+P173+P186-P115</f>
        <v>12456691.630000001</v>
      </c>
      <c r="Q116" s="121">
        <f>SUM(K116:P116)</f>
        <v>80733125.809999987</v>
      </c>
      <c r="R116" s="90"/>
    </row>
    <row r="117" spans="1:19" ht="0.75" hidden="1" customHeight="1">
      <c r="A117" s="459"/>
      <c r="B117" s="478"/>
      <c r="C117" s="486"/>
      <c r="D117" s="69"/>
      <c r="E117" s="70"/>
      <c r="F117" s="70"/>
      <c r="G117" s="70"/>
      <c r="H117" s="70"/>
      <c r="I117" s="70"/>
      <c r="J117" s="70"/>
      <c r="K117" s="72"/>
      <c r="L117" s="72"/>
      <c r="M117" s="72"/>
      <c r="N117" s="72"/>
      <c r="O117" s="72"/>
      <c r="P117" s="72"/>
      <c r="Q117" s="121">
        <f t="shared" si="30"/>
        <v>0</v>
      </c>
      <c r="R117" s="68"/>
    </row>
    <row r="118" spans="1:19" ht="32.25" customHeight="1">
      <c r="A118" s="73" t="s">
        <v>13</v>
      </c>
      <c r="B118" s="74"/>
      <c r="C118" s="468" t="s">
        <v>32</v>
      </c>
      <c r="D118" s="469"/>
      <c r="E118" s="469"/>
      <c r="F118" s="469"/>
      <c r="G118" s="469"/>
      <c r="H118" s="469"/>
      <c r="I118" s="469"/>
      <c r="J118" s="469"/>
      <c r="K118" s="469"/>
      <c r="L118" s="469"/>
      <c r="M118" s="469"/>
      <c r="N118" s="469"/>
      <c r="O118" s="469"/>
      <c r="P118" s="469"/>
      <c r="Q118" s="470"/>
      <c r="R118" s="68"/>
    </row>
    <row r="119" spans="1:19" ht="90">
      <c r="A119" s="108" t="s">
        <v>30</v>
      </c>
      <c r="B119" s="118"/>
      <c r="C119" s="115" t="s">
        <v>125</v>
      </c>
      <c r="D119" s="115" t="s">
        <v>56</v>
      </c>
      <c r="E119" s="76" t="s">
        <v>74</v>
      </c>
      <c r="F119" s="76" t="s">
        <v>75</v>
      </c>
      <c r="G119" s="77" t="s">
        <v>77</v>
      </c>
      <c r="H119" s="78">
        <v>3</v>
      </c>
      <c r="I119" s="111" t="s">
        <v>244</v>
      </c>
      <c r="J119" s="76" t="s">
        <v>78</v>
      </c>
      <c r="K119" s="81">
        <f>8302599.58+430220</f>
        <v>8732819.5800000001</v>
      </c>
      <c r="L119" s="81">
        <v>9721438.6699999999</v>
      </c>
      <c r="M119" s="81">
        <f>9858916.43+260711.73+309600+63011.11-202.52-205.01</f>
        <v>10491831.74</v>
      </c>
      <c r="N119" s="81">
        <f>10451508.17-50000</f>
        <v>10401508.17</v>
      </c>
      <c r="O119" s="81">
        <v>10451508.17</v>
      </c>
      <c r="P119" s="81">
        <v>10451508.17</v>
      </c>
      <c r="Q119" s="81">
        <f>SUM(K119:P119)</f>
        <v>60250614.500000007</v>
      </c>
      <c r="R119" s="122" t="s">
        <v>88</v>
      </c>
    </row>
    <row r="120" spans="1:19" s="24" customFormat="1" ht="187.5" customHeight="1">
      <c r="A120" s="113"/>
      <c r="B120" s="310"/>
      <c r="C120" s="115" t="s">
        <v>172</v>
      </c>
      <c r="D120" s="115" t="s">
        <v>56</v>
      </c>
      <c r="E120" s="76" t="s">
        <v>74</v>
      </c>
      <c r="F120" s="83" t="s">
        <v>75</v>
      </c>
      <c r="G120" s="84" t="s">
        <v>77</v>
      </c>
      <c r="H120" s="78">
        <v>3</v>
      </c>
      <c r="I120" s="83" t="s">
        <v>255</v>
      </c>
      <c r="J120" s="83" t="s">
        <v>78</v>
      </c>
      <c r="K120" s="81">
        <v>13524.67</v>
      </c>
      <c r="L120" s="81"/>
      <c r="M120" s="81"/>
      <c r="N120" s="81"/>
      <c r="O120" s="81"/>
      <c r="P120" s="81"/>
      <c r="Q120" s="81">
        <f t="shared" ref="Q120:Q132" si="31">SUM(K120:O120)</f>
        <v>13524.67</v>
      </c>
      <c r="R120" s="123"/>
    </row>
    <row r="121" spans="1:19" ht="219" customHeight="1">
      <c r="A121" s="134"/>
      <c r="B121" s="119"/>
      <c r="C121" s="115" t="s">
        <v>138</v>
      </c>
      <c r="D121" s="115" t="s">
        <v>56</v>
      </c>
      <c r="E121" s="76" t="s">
        <v>74</v>
      </c>
      <c r="F121" s="83" t="s">
        <v>75</v>
      </c>
      <c r="G121" s="84" t="s">
        <v>77</v>
      </c>
      <c r="H121" s="78">
        <v>3</v>
      </c>
      <c r="I121" s="83" t="s">
        <v>252</v>
      </c>
      <c r="J121" s="83" t="s">
        <v>78</v>
      </c>
      <c r="K121" s="81">
        <f>316171.33+63431.05</f>
        <v>379602.38</v>
      </c>
      <c r="L121" s="81">
        <v>230464.58</v>
      </c>
      <c r="M121" s="443">
        <f>17672.51+20295.59</f>
        <v>37968.1</v>
      </c>
      <c r="N121" s="81">
        <f>35167.15+30004.47</f>
        <v>65171.62</v>
      </c>
      <c r="O121" s="81"/>
      <c r="P121" s="81"/>
      <c r="Q121" s="81">
        <f t="shared" si="31"/>
        <v>713206.67999999993</v>
      </c>
      <c r="R121" s="315"/>
    </row>
    <row r="122" spans="1:19" ht="248.25" customHeight="1">
      <c r="A122" s="134"/>
      <c r="B122" s="119"/>
      <c r="C122" s="115" t="s">
        <v>139</v>
      </c>
      <c r="D122" s="115" t="s">
        <v>56</v>
      </c>
      <c r="E122" s="76" t="s">
        <v>74</v>
      </c>
      <c r="F122" s="83" t="s">
        <v>75</v>
      </c>
      <c r="G122" s="84" t="s">
        <v>77</v>
      </c>
      <c r="H122" s="78">
        <v>3</v>
      </c>
      <c r="I122" s="83" t="s">
        <v>253</v>
      </c>
      <c r="J122" s="83" t="s">
        <v>78</v>
      </c>
      <c r="K122" s="81">
        <v>4111.0200000000004</v>
      </c>
      <c r="L122" s="81">
        <v>2669.95</v>
      </c>
      <c r="M122" s="81">
        <v>407.53</v>
      </c>
      <c r="N122" s="81"/>
      <c r="O122" s="81"/>
      <c r="P122" s="81"/>
      <c r="Q122" s="81">
        <f t="shared" si="31"/>
        <v>7188.5</v>
      </c>
      <c r="R122" s="316"/>
    </row>
    <row r="123" spans="1:19" ht="105">
      <c r="A123" s="113"/>
      <c r="B123" s="120"/>
      <c r="C123" s="115" t="s">
        <v>140</v>
      </c>
      <c r="D123" s="115" t="s">
        <v>56</v>
      </c>
      <c r="E123" s="83" t="s">
        <v>74</v>
      </c>
      <c r="F123" s="83" t="s">
        <v>75</v>
      </c>
      <c r="G123" s="84" t="s">
        <v>77</v>
      </c>
      <c r="H123" s="78">
        <v>3</v>
      </c>
      <c r="I123" s="83" t="s">
        <v>259</v>
      </c>
      <c r="J123" s="83" t="s">
        <v>78</v>
      </c>
      <c r="K123" s="81">
        <f>141865.92+65974.35</f>
        <v>207840.27000000002</v>
      </c>
      <c r="L123" s="81">
        <v>151884.69</v>
      </c>
      <c r="M123" s="81">
        <v>229997.2</v>
      </c>
      <c r="N123" s="81">
        <f>303592.93-25976.72-1079.16</f>
        <v>276537.05</v>
      </c>
      <c r="O123" s="81"/>
      <c r="P123" s="81"/>
      <c r="Q123" s="81">
        <f t="shared" si="31"/>
        <v>866259.21</v>
      </c>
      <c r="R123" s="97"/>
      <c r="S123" s="9" t="s">
        <v>104</v>
      </c>
    </row>
    <row r="124" spans="1:19" s="56" customFormat="1" ht="98.25" customHeight="1">
      <c r="A124" s="113"/>
      <c r="B124" s="393"/>
      <c r="C124" s="115"/>
      <c r="D124" s="115" t="s">
        <v>56</v>
      </c>
      <c r="E124" s="83" t="s">
        <v>74</v>
      </c>
      <c r="F124" s="83" t="s">
        <v>75</v>
      </c>
      <c r="G124" s="84" t="s">
        <v>77</v>
      </c>
      <c r="H124" s="78">
        <v>3</v>
      </c>
      <c r="I124" s="83" t="s">
        <v>340</v>
      </c>
      <c r="J124" s="83" t="s">
        <v>78</v>
      </c>
      <c r="K124" s="81"/>
      <c r="L124" s="81"/>
      <c r="M124" s="81"/>
      <c r="N124" s="81">
        <f>376572.47</f>
        <v>376572.47</v>
      </c>
      <c r="O124" s="81"/>
      <c r="P124" s="81"/>
      <c r="Q124" s="81">
        <f t="shared" si="31"/>
        <v>376572.47</v>
      </c>
      <c r="R124" s="316"/>
    </row>
    <row r="125" spans="1:19" ht="150">
      <c r="A125" s="73" t="s">
        <v>14</v>
      </c>
      <c r="B125" s="73"/>
      <c r="C125" s="115" t="s">
        <v>33</v>
      </c>
      <c r="D125" s="115" t="s">
        <v>56</v>
      </c>
      <c r="E125" s="76" t="s">
        <v>74</v>
      </c>
      <c r="F125" s="76" t="s">
        <v>75</v>
      </c>
      <c r="G125" s="77" t="s">
        <v>77</v>
      </c>
      <c r="H125" s="78">
        <v>3</v>
      </c>
      <c r="I125" s="83" t="s">
        <v>264</v>
      </c>
      <c r="J125" s="76" t="s">
        <v>80</v>
      </c>
      <c r="K125" s="81"/>
      <c r="L125" s="81">
        <v>202950</v>
      </c>
      <c r="M125" s="81"/>
      <c r="N125" s="81"/>
      <c r="O125" s="81"/>
      <c r="P125" s="81"/>
      <c r="Q125" s="81">
        <f t="shared" si="31"/>
        <v>202950</v>
      </c>
      <c r="R125" s="131" t="s">
        <v>92</v>
      </c>
    </row>
    <row r="126" spans="1:19" ht="105">
      <c r="A126" s="73" t="s">
        <v>57</v>
      </c>
      <c r="B126" s="118"/>
      <c r="C126" s="430" t="s">
        <v>115</v>
      </c>
      <c r="D126" s="115" t="s">
        <v>56</v>
      </c>
      <c r="E126" s="76" t="s">
        <v>74</v>
      </c>
      <c r="F126" s="76" t="s">
        <v>75</v>
      </c>
      <c r="G126" s="77" t="s">
        <v>77</v>
      </c>
      <c r="H126" s="78">
        <v>3</v>
      </c>
      <c r="I126" s="83" t="s">
        <v>260</v>
      </c>
      <c r="J126" s="76" t="s">
        <v>80</v>
      </c>
      <c r="K126" s="81">
        <v>0</v>
      </c>
      <c r="L126" s="81">
        <v>0</v>
      </c>
      <c r="M126" s="81">
        <v>0</v>
      </c>
      <c r="N126" s="81"/>
      <c r="O126" s="81"/>
      <c r="P126" s="81"/>
      <c r="Q126" s="81">
        <f t="shared" si="31"/>
        <v>0</v>
      </c>
      <c r="R126" s="131" t="s">
        <v>106</v>
      </c>
    </row>
    <row r="127" spans="1:19" ht="78" customHeight="1">
      <c r="A127" s="73" t="s">
        <v>103</v>
      </c>
      <c r="B127" s="118"/>
      <c r="C127" s="430" t="s">
        <v>34</v>
      </c>
      <c r="D127" s="115" t="s">
        <v>56</v>
      </c>
      <c r="E127" s="76" t="s">
        <v>74</v>
      </c>
      <c r="F127" s="76" t="s">
        <v>27</v>
      </c>
      <c r="G127" s="77" t="s">
        <v>77</v>
      </c>
      <c r="H127" s="78">
        <v>3</v>
      </c>
      <c r="I127" s="83" t="s">
        <v>265</v>
      </c>
      <c r="J127" s="76" t="s">
        <v>80</v>
      </c>
      <c r="K127" s="81">
        <f>300+62924</f>
        <v>63224</v>
      </c>
      <c r="L127" s="81">
        <v>0</v>
      </c>
      <c r="M127" s="81">
        <v>0</v>
      </c>
      <c r="N127" s="81"/>
      <c r="O127" s="81"/>
      <c r="P127" s="81"/>
      <c r="Q127" s="81">
        <f t="shared" si="31"/>
        <v>63224</v>
      </c>
      <c r="R127" s="131" t="s">
        <v>93</v>
      </c>
    </row>
    <row r="128" spans="1:19" s="35" customFormat="1" ht="210">
      <c r="A128" s="155" t="s">
        <v>160</v>
      </c>
      <c r="B128" s="73"/>
      <c r="C128" s="156" t="s">
        <v>219</v>
      </c>
      <c r="D128" s="115" t="s">
        <v>56</v>
      </c>
      <c r="E128" s="76" t="s">
        <v>74</v>
      </c>
      <c r="F128" s="76" t="s">
        <v>75</v>
      </c>
      <c r="G128" s="77" t="s">
        <v>77</v>
      </c>
      <c r="H128" s="78">
        <v>3</v>
      </c>
      <c r="I128" s="83" t="s">
        <v>266</v>
      </c>
      <c r="J128" s="76" t="s">
        <v>80</v>
      </c>
      <c r="K128" s="81"/>
      <c r="L128" s="81">
        <v>2050</v>
      </c>
      <c r="M128" s="81"/>
      <c r="N128" s="81"/>
      <c r="O128" s="81"/>
      <c r="P128" s="81"/>
      <c r="Q128" s="81">
        <f t="shared" si="31"/>
        <v>2050</v>
      </c>
      <c r="R128" s="131" t="s">
        <v>92</v>
      </c>
    </row>
    <row r="129" spans="1:18" s="35" customFormat="1" ht="55.5" customHeight="1">
      <c r="A129" s="155" t="s">
        <v>173</v>
      </c>
      <c r="B129" s="118"/>
      <c r="C129" s="430" t="s">
        <v>34</v>
      </c>
      <c r="D129" s="115" t="s">
        <v>56</v>
      </c>
      <c r="E129" s="76" t="s">
        <v>74</v>
      </c>
      <c r="F129" s="76" t="s">
        <v>27</v>
      </c>
      <c r="G129" s="77" t="s">
        <v>77</v>
      </c>
      <c r="H129" s="78">
        <v>3</v>
      </c>
      <c r="I129" s="83" t="s">
        <v>267</v>
      </c>
      <c r="J129" s="76" t="s">
        <v>80</v>
      </c>
      <c r="K129" s="81"/>
      <c r="L129" s="81">
        <v>54000</v>
      </c>
      <c r="M129" s="81">
        <v>0</v>
      </c>
      <c r="N129" s="81"/>
      <c r="O129" s="81"/>
      <c r="P129" s="81"/>
      <c r="Q129" s="81">
        <f t="shared" si="31"/>
        <v>54000</v>
      </c>
      <c r="R129" s="131" t="s">
        <v>93</v>
      </c>
    </row>
    <row r="130" spans="1:18" s="35" customFormat="1" ht="87.75" customHeight="1">
      <c r="A130" s="155" t="s">
        <v>197</v>
      </c>
      <c r="B130" s="118"/>
      <c r="C130" s="423" t="s">
        <v>218</v>
      </c>
      <c r="D130" s="115" t="s">
        <v>56</v>
      </c>
      <c r="E130" s="76" t="s">
        <v>74</v>
      </c>
      <c r="F130" s="76" t="s">
        <v>27</v>
      </c>
      <c r="G130" s="77" t="s">
        <v>77</v>
      </c>
      <c r="H130" s="78">
        <v>3</v>
      </c>
      <c r="I130" s="83" t="s">
        <v>265</v>
      </c>
      <c r="J130" s="76" t="s">
        <v>80</v>
      </c>
      <c r="K130" s="81"/>
      <c r="L130" s="81">
        <v>546</v>
      </c>
      <c r="M130" s="81">
        <v>0</v>
      </c>
      <c r="N130" s="81"/>
      <c r="O130" s="81"/>
      <c r="P130" s="81"/>
      <c r="Q130" s="81">
        <f t="shared" si="31"/>
        <v>546</v>
      </c>
      <c r="R130" s="131" t="s">
        <v>93</v>
      </c>
    </row>
    <row r="131" spans="1:18" s="52" customFormat="1" ht="272.25" customHeight="1">
      <c r="A131" s="73" t="s">
        <v>231</v>
      </c>
      <c r="B131" s="118"/>
      <c r="C131" s="292" t="s">
        <v>285</v>
      </c>
      <c r="D131" s="90" t="s">
        <v>56</v>
      </c>
      <c r="E131" s="438" t="s">
        <v>74</v>
      </c>
      <c r="F131" s="438" t="s">
        <v>75</v>
      </c>
      <c r="G131" s="74" t="s">
        <v>77</v>
      </c>
      <c r="H131" s="436">
        <v>3</v>
      </c>
      <c r="I131" s="111" t="s">
        <v>284</v>
      </c>
      <c r="J131" s="438" t="s">
        <v>80</v>
      </c>
      <c r="K131" s="230"/>
      <c r="L131" s="96"/>
      <c r="M131" s="96">
        <v>35360</v>
      </c>
      <c r="N131" s="96"/>
      <c r="O131" s="96"/>
      <c r="P131" s="96"/>
      <c r="Q131" s="96">
        <f t="shared" si="31"/>
        <v>35360</v>
      </c>
      <c r="R131" s="131"/>
    </row>
    <row r="132" spans="1:18" s="52" customFormat="1" ht="313.5" customHeight="1">
      <c r="A132" s="73" t="s">
        <v>279</v>
      </c>
      <c r="B132" s="118"/>
      <c r="C132" s="292" t="s">
        <v>286</v>
      </c>
      <c r="D132" s="90" t="s">
        <v>56</v>
      </c>
      <c r="E132" s="438" t="s">
        <v>74</v>
      </c>
      <c r="F132" s="438" t="s">
        <v>75</v>
      </c>
      <c r="G132" s="74" t="s">
        <v>77</v>
      </c>
      <c r="H132" s="436">
        <v>3</v>
      </c>
      <c r="I132" s="111" t="s">
        <v>288</v>
      </c>
      <c r="J132" s="438" t="s">
        <v>80</v>
      </c>
      <c r="K132" s="230"/>
      <c r="L132" s="96"/>
      <c r="M132" s="96">
        <v>721.7</v>
      </c>
      <c r="N132" s="96"/>
      <c r="O132" s="96"/>
      <c r="P132" s="96"/>
      <c r="Q132" s="96">
        <f t="shared" si="31"/>
        <v>721.7</v>
      </c>
      <c r="R132" s="131"/>
    </row>
    <row r="133" spans="1:18">
      <c r="A133" s="73"/>
      <c r="B133" s="73"/>
      <c r="C133" s="115" t="s">
        <v>15</v>
      </c>
      <c r="D133" s="69"/>
      <c r="E133" s="115"/>
      <c r="F133" s="115"/>
      <c r="G133" s="77"/>
      <c r="H133" s="78"/>
      <c r="I133" s="71"/>
      <c r="J133" s="115"/>
      <c r="K133" s="81">
        <f>SUM(K119:K127)</f>
        <v>9401121.9199999999</v>
      </c>
      <c r="L133" s="81">
        <f>SUM(L119:L130)</f>
        <v>10366003.889999999</v>
      </c>
      <c r="M133" s="81">
        <f>SUM(M119:M132)</f>
        <v>10796286.269999998</v>
      </c>
      <c r="N133" s="81">
        <f>SUM(N119:N127)</f>
        <v>11119789.310000001</v>
      </c>
      <c r="O133" s="81">
        <f>SUM(O119:O127)</f>
        <v>10451508.17</v>
      </c>
      <c r="P133" s="81">
        <f>SUM(P119:P127)</f>
        <v>10451508.17</v>
      </c>
      <c r="Q133" s="81">
        <f>K133+L133+M133+N133+O133+P133</f>
        <v>62586217.730000004</v>
      </c>
      <c r="R133" s="91"/>
    </row>
    <row r="134" spans="1:18" ht="15.75" customHeight="1">
      <c r="A134" s="73" t="s">
        <v>16</v>
      </c>
      <c r="B134" s="74"/>
      <c r="C134" s="468" t="s">
        <v>35</v>
      </c>
      <c r="D134" s="469"/>
      <c r="E134" s="469"/>
      <c r="F134" s="469"/>
      <c r="G134" s="469"/>
      <c r="H134" s="469"/>
      <c r="I134" s="469"/>
      <c r="J134" s="469"/>
      <c r="K134" s="469"/>
      <c r="L134" s="469"/>
      <c r="M134" s="469"/>
      <c r="N134" s="469"/>
      <c r="O134" s="469"/>
      <c r="P134" s="469"/>
      <c r="Q134" s="470"/>
      <c r="R134" s="90"/>
    </row>
    <row r="135" spans="1:18" ht="125.25" customHeight="1">
      <c r="A135" s="118" t="s">
        <v>17</v>
      </c>
      <c r="B135" s="118"/>
      <c r="C135" s="424" t="s">
        <v>36</v>
      </c>
      <c r="D135" s="430" t="s">
        <v>56</v>
      </c>
      <c r="E135" s="76"/>
      <c r="F135" s="76"/>
      <c r="G135" s="77"/>
      <c r="H135" s="78"/>
      <c r="I135" s="83"/>
      <c r="J135" s="76"/>
      <c r="K135" s="133"/>
      <c r="L135" s="133"/>
      <c r="M135" s="133"/>
      <c r="N135" s="133"/>
      <c r="O135" s="133"/>
      <c r="P135" s="133"/>
      <c r="Q135" s="133">
        <f>SUM(K135:M135)</f>
        <v>0</v>
      </c>
      <c r="R135" s="131" t="s">
        <v>94</v>
      </c>
    </row>
    <row r="136" spans="1:18">
      <c r="A136" s="73"/>
      <c r="B136" s="73"/>
      <c r="C136" s="115" t="s">
        <v>18</v>
      </c>
      <c r="D136" s="69"/>
      <c r="E136" s="115"/>
      <c r="F136" s="115"/>
      <c r="G136" s="77"/>
      <c r="H136" s="78"/>
      <c r="I136" s="71"/>
      <c r="J136" s="115"/>
      <c r="K136" s="161">
        <f>SUM(K135:K135)</f>
        <v>0</v>
      </c>
      <c r="L136" s="161">
        <f>SUM(L135:L135)</f>
        <v>0</v>
      </c>
      <c r="M136" s="161">
        <f>SUM(M135:M135)</f>
        <v>0</v>
      </c>
      <c r="N136" s="161">
        <f>SUM(N135:N135)</f>
        <v>0</v>
      </c>
      <c r="O136" s="161"/>
      <c r="P136" s="161"/>
      <c r="Q136" s="161">
        <f>SUM(Q135:Q135)</f>
        <v>0</v>
      </c>
      <c r="R136" s="91"/>
    </row>
    <row r="137" spans="1:18" ht="15.75" customHeight="1">
      <c r="A137" s="73" t="s">
        <v>19</v>
      </c>
      <c r="B137" s="74"/>
      <c r="C137" s="468" t="s">
        <v>37</v>
      </c>
      <c r="D137" s="469"/>
      <c r="E137" s="469"/>
      <c r="F137" s="469"/>
      <c r="G137" s="469"/>
      <c r="H137" s="469"/>
      <c r="I137" s="469"/>
      <c r="J137" s="469"/>
      <c r="K137" s="469"/>
      <c r="L137" s="469"/>
      <c r="M137" s="469"/>
      <c r="N137" s="469"/>
      <c r="O137" s="469"/>
      <c r="P137" s="469"/>
      <c r="Q137" s="470"/>
      <c r="R137" s="90"/>
    </row>
    <row r="138" spans="1:18">
      <c r="A138" s="458" t="s">
        <v>20</v>
      </c>
      <c r="B138" s="118"/>
      <c r="C138" s="474" t="s">
        <v>131</v>
      </c>
      <c r="D138" s="430" t="s">
        <v>56</v>
      </c>
      <c r="E138" s="76" t="s">
        <v>74</v>
      </c>
      <c r="F138" s="76" t="s">
        <v>27</v>
      </c>
      <c r="G138" s="77" t="s">
        <v>77</v>
      </c>
      <c r="H138" s="78">
        <v>3</v>
      </c>
      <c r="I138" s="83" t="s">
        <v>268</v>
      </c>
      <c r="J138" s="76" t="s">
        <v>80</v>
      </c>
      <c r="K138" s="133">
        <f>16000+4000</f>
        <v>20000</v>
      </c>
      <c r="L138" s="133"/>
      <c r="M138" s="133"/>
      <c r="N138" s="133"/>
      <c r="O138" s="133"/>
      <c r="P138" s="133"/>
      <c r="Q138" s="133">
        <f>SUM(K138:O138)</f>
        <v>20000</v>
      </c>
      <c r="R138" s="465" t="s">
        <v>89</v>
      </c>
    </row>
    <row r="139" spans="1:18">
      <c r="A139" s="459"/>
      <c r="B139" s="120"/>
      <c r="C139" s="475"/>
      <c r="D139" s="430" t="s">
        <v>56</v>
      </c>
      <c r="E139" s="76" t="s">
        <v>74</v>
      </c>
      <c r="F139" s="83" t="s">
        <v>27</v>
      </c>
      <c r="G139" s="84" t="s">
        <v>77</v>
      </c>
      <c r="H139" s="78">
        <v>3</v>
      </c>
      <c r="I139" s="83" t="s">
        <v>268</v>
      </c>
      <c r="J139" s="76" t="s">
        <v>28</v>
      </c>
      <c r="K139" s="133">
        <f>15000+3880</f>
        <v>18880</v>
      </c>
      <c r="L139" s="133"/>
      <c r="M139" s="133"/>
      <c r="N139" s="133"/>
      <c r="O139" s="133"/>
      <c r="P139" s="133"/>
      <c r="Q139" s="133">
        <f t="shared" ref="Q139:Q143" si="32">SUM(K139:O139)</f>
        <v>18880</v>
      </c>
      <c r="R139" s="467"/>
    </row>
    <row r="140" spans="1:18">
      <c r="A140" s="458" t="s">
        <v>98</v>
      </c>
      <c r="B140" s="118"/>
      <c r="C140" s="474" t="s">
        <v>116</v>
      </c>
      <c r="D140" s="430" t="s">
        <v>56</v>
      </c>
      <c r="E140" s="76" t="s">
        <v>74</v>
      </c>
      <c r="F140" s="83" t="s">
        <v>27</v>
      </c>
      <c r="G140" s="84" t="s">
        <v>77</v>
      </c>
      <c r="H140" s="78">
        <v>3</v>
      </c>
      <c r="I140" s="83" t="s">
        <v>269</v>
      </c>
      <c r="J140" s="76" t="s">
        <v>80</v>
      </c>
      <c r="K140" s="133">
        <v>90000</v>
      </c>
      <c r="L140" s="133"/>
      <c r="M140" s="133"/>
      <c r="N140" s="133"/>
      <c r="O140" s="133"/>
      <c r="P140" s="133"/>
      <c r="Q140" s="133">
        <f t="shared" si="32"/>
        <v>90000</v>
      </c>
      <c r="R140" s="465" t="s">
        <v>107</v>
      </c>
    </row>
    <row r="141" spans="1:18">
      <c r="A141" s="459"/>
      <c r="B141" s="120"/>
      <c r="C141" s="475"/>
      <c r="D141" s="430" t="s">
        <v>56</v>
      </c>
      <c r="E141" s="76" t="s">
        <v>74</v>
      </c>
      <c r="F141" s="83" t="s">
        <v>27</v>
      </c>
      <c r="G141" s="84" t="s">
        <v>77</v>
      </c>
      <c r="H141" s="78">
        <v>3</v>
      </c>
      <c r="I141" s="83" t="s">
        <v>269</v>
      </c>
      <c r="J141" s="76" t="s">
        <v>28</v>
      </c>
      <c r="K141" s="133">
        <v>0</v>
      </c>
      <c r="L141" s="133"/>
      <c r="M141" s="133"/>
      <c r="N141" s="133"/>
      <c r="O141" s="133"/>
      <c r="P141" s="133"/>
      <c r="Q141" s="133">
        <f t="shared" si="32"/>
        <v>0</v>
      </c>
      <c r="R141" s="467"/>
    </row>
    <row r="142" spans="1:18" ht="43.5" customHeight="1">
      <c r="A142" s="458" t="s">
        <v>134</v>
      </c>
      <c r="B142" s="458"/>
      <c r="C142" s="474" t="s">
        <v>132</v>
      </c>
      <c r="D142" s="474" t="s">
        <v>56</v>
      </c>
      <c r="E142" s="76" t="s">
        <v>74</v>
      </c>
      <c r="F142" s="83" t="s">
        <v>27</v>
      </c>
      <c r="G142" s="84" t="s">
        <v>77</v>
      </c>
      <c r="H142" s="78">
        <v>3</v>
      </c>
      <c r="I142" s="116" t="s">
        <v>270</v>
      </c>
      <c r="J142" s="76" t="s">
        <v>28</v>
      </c>
      <c r="K142" s="133">
        <v>75500</v>
      </c>
      <c r="L142" s="133"/>
      <c r="M142" s="133"/>
      <c r="N142" s="133"/>
      <c r="O142" s="133"/>
      <c r="P142" s="133"/>
      <c r="Q142" s="133">
        <f t="shared" si="32"/>
        <v>75500</v>
      </c>
      <c r="R142" s="124"/>
    </row>
    <row r="143" spans="1:18" ht="68.25" customHeight="1">
      <c r="A143" s="459"/>
      <c r="B143" s="464"/>
      <c r="C143" s="475"/>
      <c r="D143" s="475"/>
      <c r="E143" s="128" t="s">
        <v>74</v>
      </c>
      <c r="F143" s="116" t="s">
        <v>27</v>
      </c>
      <c r="G143" s="129" t="s">
        <v>77</v>
      </c>
      <c r="H143" s="162">
        <v>3</v>
      </c>
      <c r="I143" s="116" t="s">
        <v>270</v>
      </c>
      <c r="J143" s="116" t="s">
        <v>80</v>
      </c>
      <c r="K143" s="133">
        <v>80000</v>
      </c>
      <c r="L143" s="133"/>
      <c r="M143" s="133"/>
      <c r="N143" s="133"/>
      <c r="O143" s="133"/>
      <c r="P143" s="133"/>
      <c r="Q143" s="133">
        <f t="shared" si="32"/>
        <v>80000</v>
      </c>
      <c r="R143" s="124"/>
    </row>
    <row r="144" spans="1:18" ht="94.15" customHeight="1">
      <c r="A144" s="118" t="s">
        <v>133</v>
      </c>
      <c r="B144" s="119"/>
      <c r="C144" s="425" t="s">
        <v>117</v>
      </c>
      <c r="D144" s="424" t="s">
        <v>56</v>
      </c>
      <c r="E144" s="76" t="s">
        <v>74</v>
      </c>
      <c r="F144" s="83" t="s">
        <v>26</v>
      </c>
      <c r="G144" s="84" t="s">
        <v>77</v>
      </c>
      <c r="H144" s="78">
        <v>3</v>
      </c>
      <c r="I144" s="83" t="s">
        <v>271</v>
      </c>
      <c r="J144" s="76" t="s">
        <v>28</v>
      </c>
      <c r="K144" s="133">
        <v>250000</v>
      </c>
      <c r="L144" s="133">
        <f>250000-20000</f>
        <v>230000</v>
      </c>
      <c r="M144" s="133">
        <f>124500+20000</f>
        <v>144500</v>
      </c>
      <c r="N144" s="133">
        <v>167200</v>
      </c>
      <c r="O144" s="133">
        <v>167200</v>
      </c>
      <c r="P144" s="133">
        <v>167200</v>
      </c>
      <c r="Q144" s="133">
        <f>SUM(K144:P144)</f>
        <v>1126100</v>
      </c>
      <c r="R144" s="124"/>
    </row>
    <row r="145" spans="1:18" s="56" customFormat="1" ht="225" hidden="1">
      <c r="A145" s="410" t="s">
        <v>318</v>
      </c>
      <c r="B145" s="411"/>
      <c r="C145" s="425" t="s">
        <v>348</v>
      </c>
      <c r="D145" s="424" t="s">
        <v>56</v>
      </c>
      <c r="E145" s="76" t="s">
        <v>74</v>
      </c>
      <c r="F145" s="83" t="s">
        <v>27</v>
      </c>
      <c r="G145" s="84" t="s">
        <v>77</v>
      </c>
      <c r="H145" s="78">
        <v>3</v>
      </c>
      <c r="I145" s="83" t="s">
        <v>305</v>
      </c>
      <c r="J145" s="76" t="s">
        <v>28</v>
      </c>
      <c r="K145" s="133">
        <v>0</v>
      </c>
      <c r="L145" s="133">
        <v>0</v>
      </c>
      <c r="M145" s="133">
        <v>0</v>
      </c>
      <c r="N145" s="444">
        <v>0</v>
      </c>
      <c r="O145" s="133">
        <v>0</v>
      </c>
      <c r="P145" s="133">
        <v>0</v>
      </c>
      <c r="Q145" s="133">
        <f>SUM(K145:P145)</f>
        <v>0</v>
      </c>
      <c r="R145" s="412"/>
    </row>
    <row r="146" spans="1:18" s="56" customFormat="1" ht="236.45" hidden="1" customHeight="1">
      <c r="A146" s="410" t="s">
        <v>319</v>
      </c>
      <c r="B146" s="411"/>
      <c r="C146" s="425" t="s">
        <v>349</v>
      </c>
      <c r="D146" s="424" t="s">
        <v>56</v>
      </c>
      <c r="E146" s="76" t="s">
        <v>74</v>
      </c>
      <c r="F146" s="83" t="s">
        <v>27</v>
      </c>
      <c r="G146" s="84" t="s">
        <v>77</v>
      </c>
      <c r="H146" s="78">
        <v>3</v>
      </c>
      <c r="I146" s="83" t="s">
        <v>350</v>
      </c>
      <c r="J146" s="76" t="s">
        <v>28</v>
      </c>
      <c r="K146" s="133">
        <v>0</v>
      </c>
      <c r="L146" s="133">
        <v>0</v>
      </c>
      <c r="M146" s="133">
        <v>0</v>
      </c>
      <c r="N146" s="444"/>
      <c r="O146" s="133">
        <v>0</v>
      </c>
      <c r="P146" s="133">
        <v>0</v>
      </c>
      <c r="Q146" s="133">
        <f>SUM(K146:P146)</f>
        <v>0</v>
      </c>
      <c r="R146" s="412"/>
    </row>
    <row r="147" spans="1:18">
      <c r="A147" s="73"/>
      <c r="B147" s="73"/>
      <c r="C147" s="115" t="s">
        <v>21</v>
      </c>
      <c r="D147" s="69"/>
      <c r="E147" s="115"/>
      <c r="F147" s="115"/>
      <c r="G147" s="77"/>
      <c r="H147" s="78"/>
      <c r="I147" s="71"/>
      <c r="J147" s="115"/>
      <c r="K147" s="133">
        <f t="shared" ref="K147:Q147" si="33">SUM(K138:K146)</f>
        <v>534380</v>
      </c>
      <c r="L147" s="133">
        <f t="shared" si="33"/>
        <v>230000</v>
      </c>
      <c r="M147" s="133">
        <f t="shared" si="33"/>
        <v>144500</v>
      </c>
      <c r="N147" s="133">
        <f t="shared" si="33"/>
        <v>167200</v>
      </c>
      <c r="O147" s="133">
        <f t="shared" si="33"/>
        <v>167200</v>
      </c>
      <c r="P147" s="133">
        <f t="shared" si="33"/>
        <v>167200</v>
      </c>
      <c r="Q147" s="133">
        <f t="shared" si="33"/>
        <v>1410480</v>
      </c>
      <c r="R147" s="91"/>
    </row>
    <row r="148" spans="1:18" ht="15.75" customHeight="1">
      <c r="A148" s="73" t="s">
        <v>22</v>
      </c>
      <c r="B148" s="74"/>
      <c r="C148" s="468" t="s">
        <v>38</v>
      </c>
      <c r="D148" s="469"/>
      <c r="E148" s="469"/>
      <c r="F148" s="469"/>
      <c r="G148" s="469"/>
      <c r="H148" s="469"/>
      <c r="I148" s="469"/>
      <c r="J148" s="469"/>
      <c r="K148" s="469"/>
      <c r="L148" s="469"/>
      <c r="M148" s="469"/>
      <c r="N148" s="469"/>
      <c r="O148" s="469"/>
      <c r="P148" s="469"/>
      <c r="Q148" s="470"/>
      <c r="R148" s="91"/>
    </row>
    <row r="149" spans="1:18">
      <c r="A149" s="458" t="s">
        <v>31</v>
      </c>
      <c r="B149" s="308"/>
      <c r="C149" s="474" t="s">
        <v>135</v>
      </c>
      <c r="D149" s="484" t="s">
        <v>56</v>
      </c>
      <c r="E149" s="76" t="s">
        <v>74</v>
      </c>
      <c r="F149" s="76" t="s">
        <v>75</v>
      </c>
      <c r="G149" s="77" t="s">
        <v>77</v>
      </c>
      <c r="H149" s="78">
        <v>3</v>
      </c>
      <c r="I149" s="111" t="s">
        <v>250</v>
      </c>
      <c r="J149" s="76" t="s">
        <v>80</v>
      </c>
      <c r="K149" s="133">
        <v>60000</v>
      </c>
      <c r="L149" s="133"/>
      <c r="M149" s="133"/>
      <c r="N149" s="133"/>
      <c r="O149" s="133"/>
      <c r="P149" s="133"/>
      <c r="Q149" s="133">
        <f>SUM(K149:N149)</f>
        <v>60000</v>
      </c>
      <c r="R149" s="465" t="s">
        <v>105</v>
      </c>
    </row>
    <row r="150" spans="1:18" ht="165.75" customHeight="1">
      <c r="A150" s="459"/>
      <c r="B150" s="310"/>
      <c r="C150" s="475"/>
      <c r="D150" s="501"/>
      <c r="E150" s="76" t="s">
        <v>74</v>
      </c>
      <c r="F150" s="76" t="s">
        <v>27</v>
      </c>
      <c r="G150" s="77" t="s">
        <v>77</v>
      </c>
      <c r="H150" s="78">
        <v>3</v>
      </c>
      <c r="I150" s="111" t="s">
        <v>250</v>
      </c>
      <c r="J150" s="76" t="s">
        <v>80</v>
      </c>
      <c r="K150" s="133">
        <f>90000+60000-50000</f>
        <v>100000</v>
      </c>
      <c r="L150" s="133">
        <f>400000+37559</f>
        <v>437559</v>
      </c>
      <c r="M150" s="133"/>
      <c r="N150" s="133">
        <f>234700</f>
        <v>234700</v>
      </c>
      <c r="O150" s="133"/>
      <c r="P150" s="133"/>
      <c r="Q150" s="133">
        <f>SUM(K150:N150)</f>
        <v>772259</v>
      </c>
      <c r="R150" s="467"/>
    </row>
    <row r="151" spans="1:18" ht="244.5" customHeight="1">
      <c r="A151" s="73" t="s">
        <v>39</v>
      </c>
      <c r="B151" s="73"/>
      <c r="C151" s="115" t="s">
        <v>61</v>
      </c>
      <c r="D151" s="69" t="s">
        <v>56</v>
      </c>
      <c r="E151" s="76"/>
      <c r="F151" s="76"/>
      <c r="G151" s="77"/>
      <c r="H151" s="78"/>
      <c r="I151" s="83"/>
      <c r="J151" s="76"/>
      <c r="K151" s="133"/>
      <c r="L151" s="133"/>
      <c r="M151" s="133"/>
      <c r="N151" s="133"/>
      <c r="O151" s="133"/>
      <c r="P151" s="133"/>
      <c r="Q151" s="133">
        <f t="shared" ref="Q151:Q162" si="34">SUM(K151:M151)</f>
        <v>0</v>
      </c>
      <c r="R151" s="163" t="s">
        <v>90</v>
      </c>
    </row>
    <row r="152" spans="1:18" ht="127.5" customHeight="1">
      <c r="A152" s="73" t="s">
        <v>40</v>
      </c>
      <c r="B152" s="73"/>
      <c r="C152" s="115" t="s">
        <v>62</v>
      </c>
      <c r="D152" s="69" t="s">
        <v>56</v>
      </c>
      <c r="E152" s="76"/>
      <c r="F152" s="76"/>
      <c r="G152" s="77"/>
      <c r="H152" s="78"/>
      <c r="I152" s="83"/>
      <c r="J152" s="76"/>
      <c r="K152" s="133"/>
      <c r="L152" s="133"/>
      <c r="M152" s="133"/>
      <c r="N152" s="133"/>
      <c r="O152" s="133"/>
      <c r="P152" s="133"/>
      <c r="Q152" s="133">
        <f t="shared" si="34"/>
        <v>0</v>
      </c>
      <c r="R152" s="131"/>
    </row>
    <row r="153" spans="1:18" ht="33.75" customHeight="1">
      <c r="A153" s="458" t="s">
        <v>41</v>
      </c>
      <c r="B153" s="458"/>
      <c r="C153" s="503" t="s">
        <v>136</v>
      </c>
      <c r="D153" s="69" t="s">
        <v>56</v>
      </c>
      <c r="E153" s="76" t="s">
        <v>74</v>
      </c>
      <c r="F153" s="76" t="s">
        <v>27</v>
      </c>
      <c r="G153" s="77" t="s">
        <v>77</v>
      </c>
      <c r="H153" s="78">
        <v>3</v>
      </c>
      <c r="I153" s="111" t="s">
        <v>251</v>
      </c>
      <c r="J153" s="76" t="s">
        <v>28</v>
      </c>
      <c r="K153" s="164">
        <f>200000+20000+58031.49</f>
        <v>278031.49</v>
      </c>
      <c r="L153" s="445"/>
      <c r="M153" s="166">
        <v>161002.39000000001</v>
      </c>
      <c r="N153" s="133">
        <v>0</v>
      </c>
      <c r="O153" s="133"/>
      <c r="P153" s="133"/>
      <c r="Q153" s="164">
        <f t="shared" ref="Q153:Q161" si="35">SUM(K153:N153)</f>
        <v>439033.88</v>
      </c>
      <c r="R153" s="131" t="s">
        <v>137</v>
      </c>
    </row>
    <row r="154" spans="1:18" ht="33.75" customHeight="1">
      <c r="A154" s="464"/>
      <c r="B154" s="464"/>
      <c r="C154" s="504"/>
      <c r="D154" s="69" t="s">
        <v>56</v>
      </c>
      <c r="E154" s="76" t="s">
        <v>74</v>
      </c>
      <c r="F154" s="76" t="s">
        <v>75</v>
      </c>
      <c r="G154" s="77" t="s">
        <v>77</v>
      </c>
      <c r="H154" s="78">
        <v>3</v>
      </c>
      <c r="I154" s="111" t="s">
        <v>251</v>
      </c>
      <c r="J154" s="76" t="s">
        <v>80</v>
      </c>
      <c r="K154" s="164"/>
      <c r="L154" s="133">
        <v>300000</v>
      </c>
      <c r="M154" s="133">
        <v>0</v>
      </c>
      <c r="N154" s="166">
        <v>183110.42</v>
      </c>
      <c r="O154" s="133"/>
      <c r="P154" s="133"/>
      <c r="Q154" s="164">
        <f>SUM(K154:P154)</f>
        <v>483110.42000000004</v>
      </c>
      <c r="R154" s="165" t="s">
        <v>108</v>
      </c>
    </row>
    <row r="155" spans="1:18" ht="34.5" customHeight="1">
      <c r="A155" s="464"/>
      <c r="B155" s="464"/>
      <c r="C155" s="504"/>
      <c r="D155" s="69" t="s">
        <v>56</v>
      </c>
      <c r="E155" s="76" t="s">
        <v>74</v>
      </c>
      <c r="F155" s="76" t="s">
        <v>27</v>
      </c>
      <c r="G155" s="77" t="s">
        <v>77</v>
      </c>
      <c r="H155" s="78">
        <v>3</v>
      </c>
      <c r="I155" s="111" t="s">
        <v>251</v>
      </c>
      <c r="J155" s="76" t="s">
        <v>80</v>
      </c>
      <c r="K155" s="164">
        <f>700000+300000+163915.45+50000</f>
        <v>1213915.45</v>
      </c>
      <c r="L155" s="446">
        <f>329682.99+1000000+133252.22</f>
        <v>1462935.21</v>
      </c>
      <c r="M155" s="166">
        <v>178632.07</v>
      </c>
      <c r="N155" s="166">
        <v>182933.59</v>
      </c>
      <c r="O155" s="133"/>
      <c r="P155" s="133"/>
      <c r="Q155" s="164">
        <f>SUM(K155:P155)</f>
        <v>3038416.32</v>
      </c>
      <c r="R155" s="165" t="s">
        <v>108</v>
      </c>
    </row>
    <row r="156" spans="1:18" s="27" customFormat="1" ht="34.5" customHeight="1">
      <c r="A156" s="464"/>
      <c r="B156" s="464"/>
      <c r="C156" s="504"/>
      <c r="D156" s="69" t="s">
        <v>56</v>
      </c>
      <c r="E156" s="76" t="s">
        <v>74</v>
      </c>
      <c r="F156" s="76" t="s">
        <v>27</v>
      </c>
      <c r="G156" s="77" t="s">
        <v>77</v>
      </c>
      <c r="H156" s="78">
        <v>3</v>
      </c>
      <c r="I156" s="111" t="s">
        <v>251</v>
      </c>
      <c r="J156" s="76" t="s">
        <v>175</v>
      </c>
      <c r="K156" s="164"/>
      <c r="L156" s="446">
        <v>57251.54</v>
      </c>
      <c r="M156" s="133"/>
      <c r="N156" s="133"/>
      <c r="O156" s="133"/>
      <c r="P156" s="133"/>
      <c r="Q156" s="164">
        <f>L156</f>
        <v>57251.54</v>
      </c>
      <c r="R156" s="165" t="s">
        <v>108</v>
      </c>
    </row>
    <row r="157" spans="1:18" s="27" customFormat="1" ht="34.5" customHeight="1">
      <c r="A157" s="464"/>
      <c r="B157" s="464"/>
      <c r="C157" s="504"/>
      <c r="D157" s="69" t="s">
        <v>56</v>
      </c>
      <c r="E157" s="76" t="s">
        <v>74</v>
      </c>
      <c r="F157" s="76" t="s">
        <v>27</v>
      </c>
      <c r="G157" s="77" t="s">
        <v>77</v>
      </c>
      <c r="H157" s="78">
        <v>3</v>
      </c>
      <c r="I157" s="111" t="s">
        <v>251</v>
      </c>
      <c r="J157" s="76" t="s">
        <v>28</v>
      </c>
      <c r="K157" s="164"/>
      <c r="L157" s="446">
        <v>46000</v>
      </c>
      <c r="M157" s="133"/>
      <c r="N157" s="133"/>
      <c r="O157" s="133"/>
      <c r="P157" s="133"/>
      <c r="Q157" s="164">
        <f>L157</f>
        <v>46000</v>
      </c>
      <c r="R157" s="165" t="s">
        <v>108</v>
      </c>
    </row>
    <row r="158" spans="1:18" s="56" customFormat="1" ht="34.5" customHeight="1">
      <c r="A158" s="348"/>
      <c r="B158" s="348"/>
      <c r="C158" s="505"/>
      <c r="D158" s="69" t="s">
        <v>56</v>
      </c>
      <c r="E158" s="76" t="s">
        <v>74</v>
      </c>
      <c r="F158" s="76" t="s">
        <v>27</v>
      </c>
      <c r="G158" s="77" t="s">
        <v>77</v>
      </c>
      <c r="H158" s="78">
        <v>3</v>
      </c>
      <c r="I158" s="111" t="s">
        <v>299</v>
      </c>
      <c r="J158" s="76" t="s">
        <v>80</v>
      </c>
      <c r="K158" s="164"/>
      <c r="L158" s="446"/>
      <c r="M158" s="133">
        <v>600000</v>
      </c>
      <c r="N158" s="133"/>
      <c r="O158" s="133"/>
      <c r="P158" s="133"/>
      <c r="Q158" s="164">
        <f>M158</f>
        <v>600000</v>
      </c>
      <c r="R158" s="165" t="s">
        <v>108</v>
      </c>
    </row>
    <row r="159" spans="1:18" ht="165">
      <c r="A159" s="73" t="s">
        <v>64</v>
      </c>
      <c r="B159" s="73"/>
      <c r="C159" s="115" t="s">
        <v>135</v>
      </c>
      <c r="D159" s="69" t="s">
        <v>56</v>
      </c>
      <c r="E159" s="76" t="s">
        <v>74</v>
      </c>
      <c r="F159" s="76" t="s">
        <v>27</v>
      </c>
      <c r="G159" s="77" t="s">
        <v>77</v>
      </c>
      <c r="H159" s="78">
        <v>3</v>
      </c>
      <c r="I159" s="111" t="s">
        <v>250</v>
      </c>
      <c r="J159" s="76" t="s">
        <v>28</v>
      </c>
      <c r="K159" s="133">
        <v>150000</v>
      </c>
      <c r="L159" s="133"/>
      <c r="M159" s="133"/>
      <c r="N159" s="133"/>
      <c r="O159" s="133"/>
      <c r="P159" s="133"/>
      <c r="Q159" s="166">
        <f t="shared" si="35"/>
        <v>150000</v>
      </c>
      <c r="R159" s="163" t="s">
        <v>110</v>
      </c>
    </row>
    <row r="160" spans="1:18" ht="117" customHeight="1">
      <c r="A160" s="73" t="s">
        <v>42</v>
      </c>
      <c r="B160" s="73"/>
      <c r="C160" s="115" t="s">
        <v>118</v>
      </c>
      <c r="D160" s="69" t="s">
        <v>56</v>
      </c>
      <c r="E160" s="76" t="s">
        <v>74</v>
      </c>
      <c r="F160" s="76" t="s">
        <v>27</v>
      </c>
      <c r="G160" s="77" t="s">
        <v>77</v>
      </c>
      <c r="H160" s="78">
        <v>3</v>
      </c>
      <c r="I160" s="83" t="s">
        <v>272</v>
      </c>
      <c r="J160" s="76" t="s">
        <v>80</v>
      </c>
      <c r="K160" s="133">
        <v>90000</v>
      </c>
      <c r="L160" s="133"/>
      <c r="M160" s="133"/>
      <c r="N160" s="133"/>
      <c r="O160" s="133"/>
      <c r="P160" s="133"/>
      <c r="Q160" s="166">
        <f t="shared" si="35"/>
        <v>90000</v>
      </c>
      <c r="R160" s="131" t="s">
        <v>109</v>
      </c>
    </row>
    <row r="161" spans="1:18" ht="240">
      <c r="A161" s="73" t="s">
        <v>69</v>
      </c>
      <c r="B161" s="73"/>
      <c r="C161" s="115" t="s">
        <v>65</v>
      </c>
      <c r="D161" s="69" t="s">
        <v>56</v>
      </c>
      <c r="E161" s="76" t="s">
        <v>74</v>
      </c>
      <c r="F161" s="76" t="s">
        <v>27</v>
      </c>
      <c r="G161" s="77" t="s">
        <v>77</v>
      </c>
      <c r="H161" s="78">
        <v>3</v>
      </c>
      <c r="I161" s="83" t="s">
        <v>273</v>
      </c>
      <c r="J161" s="76" t="s">
        <v>80</v>
      </c>
      <c r="K161" s="133">
        <f>100000</f>
        <v>100000</v>
      </c>
      <c r="L161" s="133"/>
      <c r="M161" s="133"/>
      <c r="N161" s="133"/>
      <c r="O161" s="133"/>
      <c r="P161" s="133"/>
      <c r="Q161" s="166">
        <f t="shared" si="35"/>
        <v>100000</v>
      </c>
      <c r="R161" s="131" t="s">
        <v>91</v>
      </c>
    </row>
    <row r="162" spans="1:18" ht="225">
      <c r="A162" s="73" t="s">
        <v>70</v>
      </c>
      <c r="B162" s="118"/>
      <c r="C162" s="424" t="s">
        <v>63</v>
      </c>
      <c r="D162" s="69"/>
      <c r="E162" s="76"/>
      <c r="F162" s="76"/>
      <c r="G162" s="77"/>
      <c r="H162" s="78"/>
      <c r="I162" s="83"/>
      <c r="J162" s="76"/>
      <c r="K162" s="133"/>
      <c r="L162" s="133"/>
      <c r="M162" s="133"/>
      <c r="N162" s="133"/>
      <c r="O162" s="133"/>
      <c r="P162" s="133"/>
      <c r="Q162" s="166">
        <f t="shared" si="34"/>
        <v>0</v>
      </c>
      <c r="R162" s="131" t="s">
        <v>95</v>
      </c>
    </row>
    <row r="163" spans="1:18" ht="204.75" customHeight="1">
      <c r="A163" s="73" t="s">
        <v>149</v>
      </c>
      <c r="B163" s="73"/>
      <c r="C163" s="115" t="s">
        <v>150</v>
      </c>
      <c r="D163" s="69" t="s">
        <v>56</v>
      </c>
      <c r="E163" s="76" t="s">
        <v>74</v>
      </c>
      <c r="F163" s="76" t="s">
        <v>27</v>
      </c>
      <c r="G163" s="77" t="s">
        <v>77</v>
      </c>
      <c r="H163" s="78">
        <v>3</v>
      </c>
      <c r="I163" s="83" t="s">
        <v>274</v>
      </c>
      <c r="J163" s="76" t="s">
        <v>28</v>
      </c>
      <c r="K163" s="133">
        <f>400000</f>
        <v>400000</v>
      </c>
      <c r="L163" s="133"/>
      <c r="M163" s="133"/>
      <c r="N163" s="133"/>
      <c r="O163" s="133"/>
      <c r="P163" s="133"/>
      <c r="Q163" s="166">
        <f>SUM(K163:N163)</f>
        <v>400000</v>
      </c>
      <c r="R163" s="131"/>
    </row>
    <row r="164" spans="1:18" s="39" customFormat="1" ht="225" customHeight="1">
      <c r="A164" s="73" t="s">
        <v>235</v>
      </c>
      <c r="B164" s="73"/>
      <c r="C164" s="90" t="s">
        <v>238</v>
      </c>
      <c r="D164" s="91" t="s">
        <v>56</v>
      </c>
      <c r="E164" s="438" t="s">
        <v>74</v>
      </c>
      <c r="F164" s="438" t="s">
        <v>27</v>
      </c>
      <c r="G164" s="74" t="s">
        <v>77</v>
      </c>
      <c r="H164" s="436">
        <v>3</v>
      </c>
      <c r="I164" s="111" t="s">
        <v>275</v>
      </c>
      <c r="J164" s="438" t="s">
        <v>28</v>
      </c>
      <c r="K164" s="133"/>
      <c r="L164" s="293">
        <f>235833.42+155637.83</f>
        <v>391471.25</v>
      </c>
      <c r="M164" s="133"/>
      <c r="N164" s="133"/>
      <c r="O164" s="133"/>
      <c r="P164" s="133"/>
      <c r="Q164" s="166">
        <f>SUM(K164:N164)</f>
        <v>391471.25</v>
      </c>
      <c r="R164" s="131"/>
    </row>
    <row r="165" spans="1:18" s="39" customFormat="1" ht="204.75" customHeight="1">
      <c r="A165" s="73" t="s">
        <v>237</v>
      </c>
      <c r="B165" s="73"/>
      <c r="C165" s="90" t="s">
        <v>238</v>
      </c>
      <c r="D165" s="91" t="s">
        <v>56</v>
      </c>
      <c r="E165" s="438" t="s">
        <v>74</v>
      </c>
      <c r="F165" s="438" t="s">
        <v>27</v>
      </c>
      <c r="G165" s="74" t="s">
        <v>77</v>
      </c>
      <c r="H165" s="436">
        <v>3</v>
      </c>
      <c r="I165" s="111" t="s">
        <v>275</v>
      </c>
      <c r="J165" s="438" t="s">
        <v>175</v>
      </c>
      <c r="K165" s="133"/>
      <c r="L165" s="294">
        <v>62503.7</v>
      </c>
      <c r="M165" s="133"/>
      <c r="N165" s="133"/>
      <c r="O165" s="133"/>
      <c r="P165" s="133"/>
      <c r="Q165" s="166">
        <f t="shared" ref="Q165:Q172" si="36">SUM(K165:N165)</f>
        <v>62503.7</v>
      </c>
      <c r="R165" s="131"/>
    </row>
    <row r="166" spans="1:18" s="39" customFormat="1" ht="204.75" customHeight="1">
      <c r="A166" s="73" t="s">
        <v>236</v>
      </c>
      <c r="B166" s="73"/>
      <c r="C166" s="90" t="s">
        <v>238</v>
      </c>
      <c r="D166" s="91" t="s">
        <v>56</v>
      </c>
      <c r="E166" s="438" t="s">
        <v>74</v>
      </c>
      <c r="F166" s="438" t="s">
        <v>27</v>
      </c>
      <c r="G166" s="74" t="s">
        <v>77</v>
      </c>
      <c r="H166" s="436">
        <v>3</v>
      </c>
      <c r="I166" s="111" t="s">
        <v>275</v>
      </c>
      <c r="J166" s="438" t="s">
        <v>80</v>
      </c>
      <c r="K166" s="133"/>
      <c r="L166" s="293">
        <f>43597.2+115370.63</f>
        <v>158967.83000000002</v>
      </c>
      <c r="M166" s="133"/>
      <c r="N166" s="133"/>
      <c r="O166" s="133"/>
      <c r="P166" s="133"/>
      <c r="Q166" s="166">
        <f t="shared" si="36"/>
        <v>158967.83000000002</v>
      </c>
      <c r="R166" s="131"/>
    </row>
    <row r="167" spans="1:18" s="56" customFormat="1" ht="209.25" customHeight="1">
      <c r="A167" s="391" t="s">
        <v>301</v>
      </c>
      <c r="B167" s="355"/>
      <c r="C167" s="90" t="s">
        <v>307</v>
      </c>
      <c r="D167" s="91" t="s">
        <v>56</v>
      </c>
      <c r="E167" s="438" t="s">
        <v>74</v>
      </c>
      <c r="F167" s="438" t="s">
        <v>27</v>
      </c>
      <c r="G167" s="74" t="s">
        <v>77</v>
      </c>
      <c r="H167" s="436">
        <v>3</v>
      </c>
      <c r="I167" s="111" t="s">
        <v>302</v>
      </c>
      <c r="J167" s="438" t="s">
        <v>28</v>
      </c>
      <c r="K167" s="133"/>
      <c r="L167" s="293"/>
      <c r="M167" s="133"/>
      <c r="N167" s="164">
        <f>2093070-517253-469240.81-136746.19</f>
        <v>969830</v>
      </c>
      <c r="O167" s="133"/>
      <c r="P167" s="133"/>
      <c r="Q167" s="166">
        <f t="shared" si="36"/>
        <v>969830</v>
      </c>
      <c r="R167" s="131"/>
    </row>
    <row r="168" spans="1:18" s="56" customFormat="1" ht="209.25" customHeight="1">
      <c r="A168" s="408"/>
      <c r="B168" s="408"/>
      <c r="C168" s="90" t="s">
        <v>307</v>
      </c>
      <c r="D168" s="91" t="s">
        <v>56</v>
      </c>
      <c r="E168" s="438" t="s">
        <v>74</v>
      </c>
      <c r="F168" s="438" t="s">
        <v>27</v>
      </c>
      <c r="G168" s="74" t="s">
        <v>77</v>
      </c>
      <c r="H168" s="436">
        <v>3</v>
      </c>
      <c r="I168" s="111" t="s">
        <v>302</v>
      </c>
      <c r="J168" s="438" t="s">
        <v>175</v>
      </c>
      <c r="K168" s="133"/>
      <c r="L168" s="293"/>
      <c r="M168" s="133"/>
      <c r="N168" s="164">
        <f>469240.81+15081</f>
        <v>484321.81</v>
      </c>
      <c r="O168" s="133"/>
      <c r="P168" s="133"/>
      <c r="Q168" s="166">
        <f t="shared" ref="Q168" si="37">SUM(K168:N168)</f>
        <v>484321.81</v>
      </c>
      <c r="R168" s="131"/>
    </row>
    <row r="169" spans="1:18" s="390" customFormat="1" ht="209.25" customHeight="1">
      <c r="A169" s="76" t="s">
        <v>330</v>
      </c>
      <c r="B169" s="76"/>
      <c r="C169" s="115" t="s">
        <v>327</v>
      </c>
      <c r="D169" s="69" t="s">
        <v>56</v>
      </c>
      <c r="E169" s="76" t="s">
        <v>74</v>
      </c>
      <c r="F169" s="76" t="s">
        <v>27</v>
      </c>
      <c r="G169" s="77" t="s">
        <v>77</v>
      </c>
      <c r="H169" s="78">
        <v>3</v>
      </c>
      <c r="I169" s="83" t="s">
        <v>333</v>
      </c>
      <c r="J169" s="76" t="s">
        <v>28</v>
      </c>
      <c r="K169" s="133"/>
      <c r="L169" s="166"/>
      <c r="M169" s="133"/>
      <c r="N169" s="166">
        <v>12218078</v>
      </c>
      <c r="O169" s="133"/>
      <c r="P169" s="133"/>
      <c r="Q169" s="166">
        <f t="shared" si="36"/>
        <v>12218078</v>
      </c>
      <c r="R169" s="404"/>
    </row>
    <row r="170" spans="1:18" s="390" customFormat="1" ht="209.25" customHeight="1">
      <c r="A170" s="76" t="s">
        <v>331</v>
      </c>
      <c r="B170" s="76"/>
      <c r="C170" s="115" t="s">
        <v>327</v>
      </c>
      <c r="D170" s="69" t="s">
        <v>56</v>
      </c>
      <c r="E170" s="76" t="s">
        <v>74</v>
      </c>
      <c r="F170" s="76" t="s">
        <v>27</v>
      </c>
      <c r="G170" s="77" t="s">
        <v>77</v>
      </c>
      <c r="H170" s="78">
        <v>3</v>
      </c>
      <c r="I170" s="83" t="s">
        <v>333</v>
      </c>
      <c r="J170" s="76" t="s">
        <v>175</v>
      </c>
      <c r="K170" s="133"/>
      <c r="L170" s="166"/>
      <c r="M170" s="133"/>
      <c r="N170" s="448">
        <v>0</v>
      </c>
      <c r="O170" s="133"/>
      <c r="P170" s="133"/>
      <c r="Q170" s="166">
        <f t="shared" si="36"/>
        <v>0</v>
      </c>
      <c r="R170" s="404"/>
    </row>
    <row r="171" spans="1:18" s="390" customFormat="1" ht="209.25" customHeight="1">
      <c r="A171" s="76" t="s">
        <v>332</v>
      </c>
      <c r="B171" s="76"/>
      <c r="C171" s="115" t="s">
        <v>325</v>
      </c>
      <c r="D171" s="69" t="s">
        <v>56</v>
      </c>
      <c r="E171" s="76" t="s">
        <v>74</v>
      </c>
      <c r="F171" s="76" t="s">
        <v>27</v>
      </c>
      <c r="G171" s="77" t="s">
        <v>77</v>
      </c>
      <c r="H171" s="78">
        <v>3</v>
      </c>
      <c r="I171" s="83" t="s">
        <v>328</v>
      </c>
      <c r="J171" s="76" t="s">
        <v>28</v>
      </c>
      <c r="K171" s="133"/>
      <c r="L171" s="166"/>
      <c r="M171" s="133"/>
      <c r="N171" s="448">
        <f>1579909-600000</f>
        <v>979909</v>
      </c>
      <c r="O171" s="133"/>
      <c r="P171" s="133"/>
      <c r="Q171" s="166">
        <f t="shared" si="36"/>
        <v>979909</v>
      </c>
      <c r="R171" s="404"/>
    </row>
    <row r="172" spans="1:18" s="390" customFormat="1" ht="209.25" customHeight="1">
      <c r="A172" s="76" t="s">
        <v>335</v>
      </c>
      <c r="B172" s="76"/>
      <c r="C172" s="115" t="s">
        <v>325</v>
      </c>
      <c r="D172" s="69" t="s">
        <v>56</v>
      </c>
      <c r="E172" s="76" t="s">
        <v>74</v>
      </c>
      <c r="F172" s="76" t="s">
        <v>27</v>
      </c>
      <c r="G172" s="77" t="s">
        <v>77</v>
      </c>
      <c r="H172" s="78">
        <v>3</v>
      </c>
      <c r="I172" s="83" t="s">
        <v>328</v>
      </c>
      <c r="J172" s="76" t="s">
        <v>175</v>
      </c>
      <c r="K172" s="133"/>
      <c r="L172" s="166"/>
      <c r="M172" s="133"/>
      <c r="N172" s="448">
        <v>747344</v>
      </c>
      <c r="O172" s="133"/>
      <c r="P172" s="133"/>
      <c r="Q172" s="166">
        <f t="shared" si="36"/>
        <v>747344</v>
      </c>
      <c r="R172" s="404"/>
    </row>
    <row r="173" spans="1:18">
      <c r="A173" s="73"/>
      <c r="B173" s="73"/>
      <c r="C173" s="115" t="s">
        <v>23</v>
      </c>
      <c r="D173" s="69"/>
      <c r="E173" s="115"/>
      <c r="F173" s="115"/>
      <c r="G173" s="77"/>
      <c r="H173" s="78"/>
      <c r="I173" s="71"/>
      <c r="J173" s="115"/>
      <c r="K173" s="166">
        <f>SUM(K149:K163)</f>
        <v>2391946.94</v>
      </c>
      <c r="L173" s="166">
        <f>SUM(L149:L166)</f>
        <v>2916688.5300000003</v>
      </c>
      <c r="M173" s="166">
        <f>SUM(M149:M162)</f>
        <v>939634.46</v>
      </c>
      <c r="N173" s="166">
        <f>SUM(N149:N172)</f>
        <v>16000226.82</v>
      </c>
      <c r="O173" s="166"/>
      <c r="P173" s="166"/>
      <c r="Q173" s="166">
        <f>SUM(Q149:Q172)</f>
        <v>22248496.75</v>
      </c>
      <c r="R173" s="91"/>
    </row>
    <row r="174" spans="1:18" ht="15.75" customHeight="1">
      <c r="A174" s="75" t="s">
        <v>67</v>
      </c>
      <c r="B174" s="169"/>
      <c r="C174" s="468" t="s">
        <v>230</v>
      </c>
      <c r="D174" s="469"/>
      <c r="E174" s="469"/>
      <c r="F174" s="469"/>
      <c r="G174" s="469"/>
      <c r="H174" s="469"/>
      <c r="I174" s="469"/>
      <c r="J174" s="469"/>
      <c r="K174" s="469"/>
      <c r="L174" s="469"/>
      <c r="M174" s="469"/>
      <c r="N174" s="469"/>
      <c r="O174" s="469"/>
      <c r="P174" s="469"/>
      <c r="Q174" s="470"/>
      <c r="R174" s="170"/>
    </row>
    <row r="175" spans="1:18" ht="15.75" customHeight="1">
      <c r="A175" s="171" t="s">
        <v>43</v>
      </c>
      <c r="B175" s="171"/>
      <c r="C175" s="484" t="s">
        <v>66</v>
      </c>
      <c r="D175" s="430" t="s">
        <v>56</v>
      </c>
      <c r="E175" s="76" t="s">
        <v>74</v>
      </c>
      <c r="F175" s="76" t="s">
        <v>26</v>
      </c>
      <c r="G175" s="77" t="s">
        <v>77</v>
      </c>
      <c r="H175" s="78">
        <v>3</v>
      </c>
      <c r="I175" s="111" t="s">
        <v>249</v>
      </c>
      <c r="J175" s="76" t="s">
        <v>45</v>
      </c>
      <c r="K175" s="172">
        <v>630921.29</v>
      </c>
      <c r="L175" s="172">
        <v>851638.78</v>
      </c>
      <c r="M175" s="172">
        <v>881415.33</v>
      </c>
      <c r="N175" s="172">
        <f>893356.96+50433.6-2855.06</f>
        <v>940935.49999999988</v>
      </c>
      <c r="O175" s="172">
        <f>893356.96</f>
        <v>893356.96</v>
      </c>
      <c r="P175" s="172">
        <v>893356.96</v>
      </c>
      <c r="Q175" s="172">
        <f>SUM(K175:P175)</f>
        <v>5091624.8199999994</v>
      </c>
      <c r="R175" s="465"/>
    </row>
    <row r="176" spans="1:18" s="48" customFormat="1">
      <c r="A176" s="173"/>
      <c r="B176" s="173"/>
      <c r="C176" s="500"/>
      <c r="D176" s="276" t="s">
        <v>56</v>
      </c>
      <c r="E176" s="438" t="s">
        <v>74</v>
      </c>
      <c r="F176" s="438" t="s">
        <v>26</v>
      </c>
      <c r="G176" s="74" t="s">
        <v>77</v>
      </c>
      <c r="H176" s="436">
        <v>3</v>
      </c>
      <c r="I176" s="295" t="s">
        <v>280</v>
      </c>
      <c r="J176" s="438" t="s">
        <v>45</v>
      </c>
      <c r="K176" s="296">
        <v>192955</v>
      </c>
      <c r="L176" s="179">
        <v>279508.87</v>
      </c>
      <c r="M176" s="179">
        <v>269610.46000000002</v>
      </c>
      <c r="N176" s="179">
        <f>258552.31+387.98</f>
        <v>258940.29</v>
      </c>
      <c r="O176" s="179">
        <v>258552.31</v>
      </c>
      <c r="P176" s="179">
        <v>258552.31</v>
      </c>
      <c r="Q176" s="179">
        <f>SUM(K176:P176)</f>
        <v>1518119.2400000002</v>
      </c>
      <c r="R176" s="466"/>
    </row>
    <row r="177" spans="1:19" s="44" customFormat="1">
      <c r="A177" s="173"/>
      <c r="B177" s="173"/>
      <c r="C177" s="500"/>
      <c r="D177" s="430" t="s">
        <v>56</v>
      </c>
      <c r="E177" s="76" t="s">
        <v>74</v>
      </c>
      <c r="F177" s="83" t="s">
        <v>26</v>
      </c>
      <c r="G177" s="84" t="s">
        <v>77</v>
      </c>
      <c r="H177" s="78">
        <v>3</v>
      </c>
      <c r="I177" s="111" t="s">
        <v>249</v>
      </c>
      <c r="J177" s="76" t="s">
        <v>277</v>
      </c>
      <c r="K177" s="172">
        <v>190538.23</v>
      </c>
      <c r="L177" s="172">
        <v>257164.71</v>
      </c>
      <c r="M177" s="172">
        <v>264351.81</v>
      </c>
      <c r="N177" s="172">
        <f>269793.8+24135.92-862.23</f>
        <v>293067.49</v>
      </c>
      <c r="O177" s="172">
        <f>269793.8</f>
        <v>269793.8</v>
      </c>
      <c r="P177" s="172">
        <v>269793.8</v>
      </c>
      <c r="Q177" s="172">
        <f t="shared" ref="Q177:Q179" si="38">SUM(K177:P177)</f>
        <v>1544709.84</v>
      </c>
      <c r="R177" s="466"/>
    </row>
    <row r="178" spans="1:19" s="48" customFormat="1">
      <c r="A178" s="173"/>
      <c r="B178" s="173"/>
      <c r="C178" s="500"/>
      <c r="D178" s="276" t="s">
        <v>56</v>
      </c>
      <c r="E178" s="438" t="s">
        <v>74</v>
      </c>
      <c r="F178" s="111" t="s">
        <v>26</v>
      </c>
      <c r="G178" s="297" t="s">
        <v>77</v>
      </c>
      <c r="H178" s="436">
        <v>3</v>
      </c>
      <c r="I178" s="295" t="s">
        <v>280</v>
      </c>
      <c r="J178" s="438" t="s">
        <v>277</v>
      </c>
      <c r="K178" s="296">
        <v>58272.41</v>
      </c>
      <c r="L178" s="179">
        <v>84411.69</v>
      </c>
      <c r="M178" s="179">
        <v>80347.22</v>
      </c>
      <c r="N178" s="179">
        <f>78082.8+117.17</f>
        <v>78199.97</v>
      </c>
      <c r="O178" s="179">
        <v>78082.8</v>
      </c>
      <c r="P178" s="179">
        <v>78082.8</v>
      </c>
      <c r="Q178" s="179">
        <f t="shared" si="38"/>
        <v>457396.89</v>
      </c>
      <c r="R178" s="466"/>
    </row>
    <row r="179" spans="1:19" ht="24" customHeight="1">
      <c r="A179" s="173"/>
      <c r="B179" s="506"/>
      <c r="C179" s="500"/>
      <c r="D179" s="430" t="s">
        <v>56</v>
      </c>
      <c r="E179" s="76" t="s">
        <v>74</v>
      </c>
      <c r="F179" s="83" t="s">
        <v>26</v>
      </c>
      <c r="G179" s="84" t="s">
        <v>77</v>
      </c>
      <c r="H179" s="78">
        <v>3</v>
      </c>
      <c r="I179" s="111" t="s">
        <v>249</v>
      </c>
      <c r="J179" s="76" t="s">
        <v>126</v>
      </c>
      <c r="K179" s="172">
        <f>7200-3200</f>
        <v>4000</v>
      </c>
      <c r="L179" s="172">
        <v>2484.59</v>
      </c>
      <c r="M179" s="172">
        <f>780+23583+574.6</f>
        <v>24937.599999999999</v>
      </c>
      <c r="N179" s="172">
        <f>780+666.25+728.4</f>
        <v>2174.65</v>
      </c>
      <c r="O179" s="172">
        <v>780</v>
      </c>
      <c r="P179" s="172">
        <v>780</v>
      </c>
      <c r="Q179" s="172">
        <f t="shared" si="38"/>
        <v>35156.839999999997</v>
      </c>
      <c r="R179" s="466"/>
      <c r="S179" s="9" t="s">
        <v>190</v>
      </c>
    </row>
    <row r="180" spans="1:19">
      <c r="A180" s="173"/>
      <c r="B180" s="506"/>
      <c r="C180" s="500"/>
      <c r="D180" s="430" t="s">
        <v>56</v>
      </c>
      <c r="E180" s="76" t="s">
        <v>74</v>
      </c>
      <c r="F180" s="83" t="s">
        <v>26</v>
      </c>
      <c r="G180" s="84" t="s">
        <v>77</v>
      </c>
      <c r="H180" s="78">
        <v>3</v>
      </c>
      <c r="I180" s="111" t="s">
        <v>249</v>
      </c>
      <c r="J180" s="83" t="s">
        <v>28</v>
      </c>
      <c r="K180" s="172">
        <f>290346.4+3200-58031.49</f>
        <v>235514.91000000003</v>
      </c>
      <c r="L180" s="172">
        <f>354416.44</f>
        <v>354416.44</v>
      </c>
      <c r="M180" s="172">
        <f>347279.03-23583-574.6-20000</f>
        <v>303121.43000000005</v>
      </c>
      <c r="N180" s="172">
        <f>336539.03-666.25-10968.4</f>
        <v>324904.38</v>
      </c>
      <c r="O180" s="172">
        <v>336539.03</v>
      </c>
      <c r="P180" s="172">
        <v>336539.03</v>
      </c>
      <c r="Q180" s="172">
        <f>SUM(K180:P180)</f>
        <v>1891035.2200000002</v>
      </c>
      <c r="R180" s="467"/>
    </row>
    <row r="181" spans="1:19">
      <c r="A181" s="173"/>
      <c r="B181" s="506"/>
      <c r="C181" s="500"/>
      <c r="D181" s="430" t="s">
        <v>56</v>
      </c>
      <c r="E181" s="76" t="s">
        <v>74</v>
      </c>
      <c r="F181" s="83" t="s">
        <v>26</v>
      </c>
      <c r="G181" s="84" t="s">
        <v>77</v>
      </c>
      <c r="H181" s="78">
        <v>3</v>
      </c>
      <c r="I181" s="111" t="s">
        <v>249</v>
      </c>
      <c r="J181" s="83" t="s">
        <v>127</v>
      </c>
      <c r="K181" s="172">
        <v>4500</v>
      </c>
      <c r="L181" s="172">
        <f>878.56+1000</f>
        <v>1878.56</v>
      </c>
      <c r="M181" s="172">
        <v>1000</v>
      </c>
      <c r="N181" s="441"/>
      <c r="O181" s="441"/>
      <c r="P181" s="441"/>
      <c r="Q181" s="172">
        <f>SUM(K181:P181)</f>
        <v>7378.5599999999995</v>
      </c>
      <c r="R181" s="130"/>
    </row>
    <row r="182" spans="1:19" s="56" customFormat="1">
      <c r="A182" s="365"/>
      <c r="B182" s="506"/>
      <c r="C182" s="500"/>
      <c r="D182" s="430" t="s">
        <v>56</v>
      </c>
      <c r="E182" s="76" t="s">
        <v>74</v>
      </c>
      <c r="F182" s="83" t="s">
        <v>26</v>
      </c>
      <c r="G182" s="84" t="s">
        <v>77</v>
      </c>
      <c r="H182" s="78">
        <v>3</v>
      </c>
      <c r="I182" s="111" t="s">
        <v>249</v>
      </c>
      <c r="J182" s="83" t="s">
        <v>312</v>
      </c>
      <c r="K182" s="172"/>
      <c r="L182" s="172"/>
      <c r="M182" s="172"/>
      <c r="N182" s="172">
        <v>878.56</v>
      </c>
      <c r="O182" s="172">
        <v>878.56</v>
      </c>
      <c r="P182" s="172">
        <v>878.56</v>
      </c>
      <c r="Q182" s="172">
        <f>SUM(K182:P182)</f>
        <v>2635.68</v>
      </c>
      <c r="R182" s="130"/>
    </row>
    <row r="183" spans="1:19">
      <c r="A183" s="178"/>
      <c r="B183" s="506"/>
      <c r="C183" s="500"/>
      <c r="D183" s="430" t="s">
        <v>56</v>
      </c>
      <c r="E183" s="76" t="s">
        <v>74</v>
      </c>
      <c r="F183" s="83" t="s">
        <v>26</v>
      </c>
      <c r="G183" s="84" t="s">
        <v>77</v>
      </c>
      <c r="H183" s="78">
        <v>3</v>
      </c>
      <c r="I183" s="83" t="s">
        <v>275</v>
      </c>
      <c r="J183" s="76" t="s">
        <v>126</v>
      </c>
      <c r="K183" s="172"/>
      <c r="L183" s="172">
        <v>10416</v>
      </c>
      <c r="M183" s="172">
        <v>0</v>
      </c>
      <c r="N183" s="172">
        <v>0</v>
      </c>
      <c r="O183" s="172">
        <v>0</v>
      </c>
      <c r="P183" s="172">
        <v>0</v>
      </c>
      <c r="Q183" s="172">
        <f t="shared" ref="Q183:Q185" si="39">SUM(K183:O183)</f>
        <v>10416</v>
      </c>
      <c r="R183" s="130"/>
    </row>
    <row r="184" spans="1:19" s="56" customFormat="1">
      <c r="A184" s="178"/>
      <c r="B184" s="506"/>
      <c r="C184" s="500"/>
      <c r="D184" s="430" t="s">
        <v>56</v>
      </c>
      <c r="E184" s="76" t="s">
        <v>74</v>
      </c>
      <c r="F184" s="83" t="s">
        <v>26</v>
      </c>
      <c r="G184" s="84" t="s">
        <v>77</v>
      </c>
      <c r="H184" s="78">
        <v>3</v>
      </c>
      <c r="I184" s="83" t="s">
        <v>299</v>
      </c>
      <c r="J184" s="76" t="s">
        <v>126</v>
      </c>
      <c r="K184" s="172"/>
      <c r="L184" s="172"/>
      <c r="M184" s="172">
        <v>7500</v>
      </c>
      <c r="N184" s="172">
        <v>7500</v>
      </c>
      <c r="O184" s="172"/>
      <c r="P184" s="172"/>
      <c r="Q184" s="172">
        <f t="shared" si="39"/>
        <v>15000</v>
      </c>
      <c r="R184" s="130"/>
    </row>
    <row r="185" spans="1:19" s="56" customFormat="1">
      <c r="A185" s="178"/>
      <c r="B185" s="507"/>
      <c r="C185" s="501"/>
      <c r="D185" s="430" t="s">
        <v>56</v>
      </c>
      <c r="E185" s="76" t="s">
        <v>74</v>
      </c>
      <c r="F185" s="83" t="s">
        <v>26</v>
      </c>
      <c r="G185" s="84" t="s">
        <v>77</v>
      </c>
      <c r="H185" s="78">
        <v>3</v>
      </c>
      <c r="I185" s="83" t="s">
        <v>299</v>
      </c>
      <c r="J185" s="76" t="s">
        <v>277</v>
      </c>
      <c r="K185" s="172"/>
      <c r="L185" s="172"/>
      <c r="M185" s="172">
        <v>2265</v>
      </c>
      <c r="N185" s="172">
        <v>2265</v>
      </c>
      <c r="O185" s="172"/>
      <c r="P185" s="172"/>
      <c r="Q185" s="172">
        <f t="shared" si="39"/>
        <v>4530</v>
      </c>
      <c r="R185" s="130"/>
    </row>
    <row r="186" spans="1:19" ht="15.75" customHeight="1">
      <c r="A186" s="73"/>
      <c r="B186" s="73"/>
      <c r="C186" s="90" t="s">
        <v>44</v>
      </c>
      <c r="D186" s="91"/>
      <c r="E186" s="90"/>
      <c r="F186" s="90"/>
      <c r="G186" s="74"/>
      <c r="H186" s="436"/>
      <c r="I186" s="437"/>
      <c r="J186" s="90"/>
      <c r="K186" s="179">
        <f>SUM(K175:K183)</f>
        <v>1316701.8399999999</v>
      </c>
      <c r="L186" s="179">
        <f>SUM(L175:L183)</f>
        <v>1841919.64</v>
      </c>
      <c r="M186" s="179">
        <f>SUM(M175:M185)</f>
        <v>1834548.85</v>
      </c>
      <c r="N186" s="179">
        <f>SUM(N175:N185)</f>
        <v>1908865.8399999999</v>
      </c>
      <c r="O186" s="179">
        <f t="shared" ref="O186:P186" si="40">SUM(O175:O185)</f>
        <v>1837983.4600000002</v>
      </c>
      <c r="P186" s="179">
        <f t="shared" si="40"/>
        <v>1837983.4600000002</v>
      </c>
      <c r="Q186" s="172">
        <f>SUM(K186:P186)</f>
        <v>10578003.090000002</v>
      </c>
      <c r="R186" s="91"/>
    </row>
    <row r="187" spans="1:19">
      <c r="A187" s="58"/>
      <c r="B187" s="58"/>
      <c r="C187" s="434"/>
      <c r="D187" s="434"/>
      <c r="E187" s="434"/>
      <c r="F187" s="434"/>
      <c r="G187" s="434"/>
      <c r="H187" s="434"/>
      <c r="I187" s="434"/>
      <c r="J187" s="434"/>
      <c r="K187" s="434"/>
      <c r="L187" s="434"/>
      <c r="M187" s="434"/>
      <c r="N187" s="434"/>
      <c r="O187" s="434"/>
      <c r="P187" s="434"/>
      <c r="Q187" s="434"/>
      <c r="R187" s="59"/>
    </row>
    <row r="188" spans="1:19">
      <c r="C188" s="441"/>
      <c r="D188" s="441"/>
      <c r="E188" s="441"/>
      <c r="F188" s="441"/>
      <c r="G188" s="441"/>
      <c r="H188" s="441"/>
      <c r="I188" s="441"/>
      <c r="J188" s="441"/>
      <c r="K188" s="441"/>
      <c r="L188" s="441"/>
      <c r="M188" s="441"/>
      <c r="N188" s="441"/>
      <c r="O188" s="441"/>
      <c r="P188" s="441"/>
      <c r="Q188" s="441"/>
    </row>
  </sheetData>
  <mergeCells count="91">
    <mergeCell ref="R48:R50"/>
    <mergeCell ref="R18:R23"/>
    <mergeCell ref="C24:C25"/>
    <mergeCell ref="C47:Q47"/>
    <mergeCell ref="N1:R1"/>
    <mergeCell ref="F2:H2"/>
    <mergeCell ref="A3:Q3"/>
    <mergeCell ref="K5:Q5"/>
    <mergeCell ref="N2:R2"/>
    <mergeCell ref="R5:R6"/>
    <mergeCell ref="A5:A6"/>
    <mergeCell ref="C5:C6"/>
    <mergeCell ref="D5:D6"/>
    <mergeCell ref="E5:J5"/>
    <mergeCell ref="B5:B6"/>
    <mergeCell ref="G6:I6"/>
    <mergeCell ref="R175:R180"/>
    <mergeCell ref="A142:A143"/>
    <mergeCell ref="B142:B143"/>
    <mergeCell ref="C142:C143"/>
    <mergeCell ref="D142:D143"/>
    <mergeCell ref="R149:R150"/>
    <mergeCell ref="C148:Q148"/>
    <mergeCell ref="A149:A150"/>
    <mergeCell ref="C149:C150"/>
    <mergeCell ref="D149:D150"/>
    <mergeCell ref="B153:B157"/>
    <mergeCell ref="A153:A157"/>
    <mergeCell ref="C174:Q174"/>
    <mergeCell ref="C153:C158"/>
    <mergeCell ref="B179:B185"/>
    <mergeCell ref="C175:C185"/>
    <mergeCell ref="A7:A11"/>
    <mergeCell ref="C7:C11"/>
    <mergeCell ref="A12:A16"/>
    <mergeCell ref="B12:B16"/>
    <mergeCell ref="A94:A102"/>
    <mergeCell ref="A82:A84"/>
    <mergeCell ref="C82:C84"/>
    <mergeCell ref="C93:Q93"/>
    <mergeCell ref="C77:C78"/>
    <mergeCell ref="C94:C102"/>
    <mergeCell ref="A56:A59"/>
    <mergeCell ref="C56:C59"/>
    <mergeCell ref="C12:C16"/>
    <mergeCell ref="A48:A50"/>
    <mergeCell ref="B7:B11"/>
    <mergeCell ref="C17:Q17"/>
    <mergeCell ref="C18:C23"/>
    <mergeCell ref="C118:Q118"/>
    <mergeCell ref="C103:C104"/>
    <mergeCell ref="C112:C117"/>
    <mergeCell ref="C61:Q61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A140:A141"/>
    <mergeCell ref="C140:C141"/>
    <mergeCell ref="R140:R141"/>
    <mergeCell ref="R94:R102"/>
    <mergeCell ref="R138:R139"/>
    <mergeCell ref="A112:A117"/>
    <mergeCell ref="B112:B117"/>
    <mergeCell ref="A103:A104"/>
    <mergeCell ref="C134:Q134"/>
    <mergeCell ref="C137:Q137"/>
    <mergeCell ref="A138:A139"/>
    <mergeCell ref="C138:C139"/>
    <mergeCell ref="O103:O104"/>
    <mergeCell ref="P103:P104"/>
    <mergeCell ref="Q103:Q104"/>
    <mergeCell ref="A89:A91"/>
    <mergeCell ref="R82:R84"/>
    <mergeCell ref="R63:R65"/>
    <mergeCell ref="C81:Q81"/>
    <mergeCell ref="C85:C88"/>
    <mergeCell ref="B89:B91"/>
    <mergeCell ref="C89:C91"/>
    <mergeCell ref="A43:A44"/>
    <mergeCell ref="B43:B44"/>
    <mergeCell ref="C43:C44"/>
    <mergeCell ref="D43:D44"/>
    <mergeCell ref="A85:A88"/>
  </mergeCells>
  <pageMargins left="0" right="3.937007874015748E-2" top="0.31496062992125984" bottom="0.31496062992125984" header="0.59055118110236227" footer="0.59055118110236227"/>
  <pageSetup paperSize="9" scale="50" fitToWidth="2" fitToHeight="4" orientation="landscape" r:id="rId1"/>
  <headerFooter alignWithMargins="0"/>
  <rowBreaks count="2" manualBreakCount="2">
    <brk id="83" max="17" man="1"/>
    <brk id="10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31"/>
  <sheetViews>
    <sheetView view="pageBreakPreview" zoomScale="67" zoomScaleNormal="85" zoomScaleSheetLayoutView="67" workbookViewId="0">
      <selection activeCell="L1" sqref="L1:P1"/>
    </sheetView>
  </sheetViews>
  <sheetFormatPr defaultColWidth="9.140625" defaultRowHeight="15.75" outlineLevelCol="1"/>
  <cols>
    <col min="1" max="1" width="19.42578125" style="4" customWidth="1"/>
    <col min="2" max="2" width="23.140625" style="4" customWidth="1"/>
    <col min="3" max="3" width="22.28515625" style="4" customWidth="1"/>
    <col min="4" max="4" width="0.140625" style="4" hidden="1" customWidth="1"/>
    <col min="5" max="5" width="7.140625" style="4" hidden="1" customWidth="1"/>
    <col min="6" max="6" width="3.28515625" style="4" hidden="1" customWidth="1"/>
    <col min="7" max="7" width="3" style="4" hidden="1" customWidth="1"/>
    <col min="8" max="8" width="5.85546875" style="4" hidden="1" customWidth="1"/>
    <col min="9" max="9" width="7.5703125" style="4" hidden="1" customWidth="1"/>
    <col min="10" max="10" width="18.28515625" style="4" bestFit="1" customWidth="1"/>
    <col min="11" max="11" width="18.5703125" style="4" customWidth="1"/>
    <col min="12" max="13" width="18.42578125" style="4" customWidth="1"/>
    <col min="14" max="14" width="18.42578125" style="41" customWidth="1"/>
    <col min="15" max="15" width="18.42578125" style="57" customWidth="1"/>
    <col min="16" max="16" width="20.140625" style="4" customWidth="1"/>
    <col min="17" max="17" width="8.85546875" style="4" customWidth="1"/>
    <col min="18" max="18" width="16.28515625" style="4" hidden="1" customWidth="1" outlineLevel="1"/>
    <col min="19" max="20" width="16.140625" style="4" hidden="1" customWidth="1" outlineLevel="1"/>
    <col min="21" max="21" width="0" style="4" hidden="1" customWidth="1" outlineLevel="1"/>
    <col min="22" max="22" width="9.140625" style="4" collapsed="1"/>
    <col min="23" max="23" width="13.85546875" style="4" bestFit="1" customWidth="1"/>
    <col min="24" max="16384" width="9.140625" style="4"/>
  </cols>
  <sheetData>
    <row r="1" spans="1:23" ht="58.5" customHeight="1">
      <c r="A1" s="180"/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539" t="s">
        <v>355</v>
      </c>
      <c r="M1" s="539"/>
      <c r="N1" s="539"/>
      <c r="O1" s="539"/>
      <c r="P1" s="539"/>
    </row>
    <row r="2" spans="1:23" ht="82.5" customHeight="1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523" t="s">
        <v>294</v>
      </c>
      <c r="M2" s="523"/>
      <c r="N2" s="523"/>
      <c r="O2" s="523"/>
      <c r="P2" s="523"/>
    </row>
    <row r="3" spans="1:23" ht="51" customHeight="1">
      <c r="A3" s="529" t="s">
        <v>204</v>
      </c>
      <c r="B3" s="529"/>
      <c r="C3" s="529"/>
      <c r="D3" s="529"/>
      <c r="E3" s="529"/>
      <c r="F3" s="529"/>
      <c r="G3" s="529"/>
      <c r="H3" s="529"/>
      <c r="I3" s="529"/>
      <c r="J3" s="529"/>
      <c r="K3" s="529"/>
      <c r="L3" s="529"/>
      <c r="M3" s="529"/>
      <c r="N3" s="529"/>
      <c r="O3" s="529"/>
      <c r="P3" s="529"/>
    </row>
    <row r="4" spans="1:23">
      <c r="A4" s="180"/>
      <c r="B4" s="180"/>
      <c r="C4" s="180"/>
      <c r="D4" s="180"/>
      <c r="E4" s="180"/>
      <c r="F4" s="181">
        <v>8</v>
      </c>
      <c r="G4" s="180"/>
      <c r="H4" s="180"/>
      <c r="I4" s="180"/>
      <c r="J4" s="180"/>
      <c r="K4" s="180"/>
      <c r="L4" s="180"/>
      <c r="M4" s="180"/>
      <c r="N4" s="180"/>
      <c r="O4" s="180"/>
      <c r="P4" s="180"/>
      <c r="R4" s="4">
        <f>3273967.4+28000</f>
        <v>3301967.4</v>
      </c>
      <c r="S4" s="4">
        <v>3307058.1</v>
      </c>
      <c r="T4" s="4">
        <v>2895283.8</v>
      </c>
    </row>
    <row r="5" spans="1:23" ht="34.5" customHeight="1">
      <c r="A5" s="530" t="s">
        <v>201</v>
      </c>
      <c r="B5" s="530" t="s">
        <v>205</v>
      </c>
      <c r="C5" s="530" t="s">
        <v>283</v>
      </c>
      <c r="D5" s="530" t="s">
        <v>46</v>
      </c>
      <c r="E5" s="530"/>
      <c r="F5" s="530"/>
      <c r="G5" s="530"/>
      <c r="H5" s="530"/>
      <c r="I5" s="530"/>
      <c r="J5" s="530" t="s">
        <v>202</v>
      </c>
      <c r="K5" s="530"/>
      <c r="L5" s="530"/>
      <c r="M5" s="530"/>
      <c r="N5" s="530"/>
      <c r="O5" s="530"/>
      <c r="P5" s="530"/>
      <c r="R5" s="5">
        <f>J7</f>
        <v>65340733.626420006</v>
      </c>
      <c r="S5" s="5">
        <f>K7</f>
        <v>59975697.280000001</v>
      </c>
      <c r="T5" s="5">
        <f>L7</f>
        <v>59147703.499999993</v>
      </c>
    </row>
    <row r="6" spans="1:23" ht="62.25" customHeight="1">
      <c r="A6" s="530"/>
      <c r="B6" s="530"/>
      <c r="C6" s="530"/>
      <c r="D6" s="182" t="s">
        <v>6</v>
      </c>
      <c r="E6" s="182" t="s">
        <v>7</v>
      </c>
      <c r="F6" s="524" t="s">
        <v>8</v>
      </c>
      <c r="G6" s="525"/>
      <c r="H6" s="526"/>
      <c r="I6" s="182" t="s">
        <v>9</v>
      </c>
      <c r="J6" s="182" t="s">
        <v>10</v>
      </c>
      <c r="K6" s="182" t="s">
        <v>11</v>
      </c>
      <c r="L6" s="182" t="s">
        <v>12</v>
      </c>
      <c r="M6" s="182" t="s">
        <v>159</v>
      </c>
      <c r="N6" s="182" t="s">
        <v>242</v>
      </c>
      <c r="O6" s="182" t="s">
        <v>290</v>
      </c>
      <c r="P6" s="182" t="s">
        <v>291</v>
      </c>
      <c r="R6" s="5">
        <f>R4-R5</f>
        <v>-62038766.226420008</v>
      </c>
      <c r="S6" s="5">
        <f>S4-S5</f>
        <v>-56668639.18</v>
      </c>
      <c r="T6" s="5">
        <f>T4-T5</f>
        <v>-56252419.699999996</v>
      </c>
    </row>
    <row r="7" spans="1:23" ht="47.25">
      <c r="A7" s="546" t="s">
        <v>76</v>
      </c>
      <c r="B7" s="546" t="s">
        <v>178</v>
      </c>
      <c r="C7" s="278" t="s">
        <v>47</v>
      </c>
      <c r="D7" s="279" t="s">
        <v>48</v>
      </c>
      <c r="E7" s="279" t="s">
        <v>48</v>
      </c>
      <c r="F7" s="533" t="s">
        <v>48</v>
      </c>
      <c r="G7" s="534"/>
      <c r="H7" s="535"/>
      <c r="I7" s="279" t="s">
        <v>48</v>
      </c>
      <c r="J7" s="281">
        <f>J10+J9+J8</f>
        <v>65340733.626420006</v>
      </c>
      <c r="K7" s="281">
        <f>K10+K9+K8</f>
        <v>59975697.280000001</v>
      </c>
      <c r="L7" s="281">
        <f>L10+L9+L8</f>
        <v>59147703.499999993</v>
      </c>
      <c r="M7" s="298">
        <f>M10+M9+M8</f>
        <v>82889958.340000004</v>
      </c>
      <c r="N7" s="281">
        <f t="shared" ref="N7:O7" si="0">N10+N9+N8</f>
        <v>56661609.940000005</v>
      </c>
      <c r="O7" s="281">
        <f t="shared" si="0"/>
        <v>56661609.940000005</v>
      </c>
      <c r="P7" s="280">
        <f>SUM(J7:O7)</f>
        <v>380677312.62642002</v>
      </c>
      <c r="W7" s="5"/>
    </row>
    <row r="8" spans="1:23" ht="34.5" customHeight="1">
      <c r="A8" s="546"/>
      <c r="B8" s="546"/>
      <c r="C8" s="69" t="s">
        <v>191</v>
      </c>
      <c r="D8" s="185" t="s">
        <v>74</v>
      </c>
      <c r="E8" s="182" t="s">
        <v>48</v>
      </c>
      <c r="F8" s="524" t="s">
        <v>48</v>
      </c>
      <c r="G8" s="525"/>
      <c r="H8" s="526"/>
      <c r="I8" s="182" t="s">
        <v>48</v>
      </c>
      <c r="J8" s="184">
        <v>6181600</v>
      </c>
      <c r="K8" s="184">
        <v>3000</v>
      </c>
      <c r="L8" s="184">
        <f>L13+L18+L23</f>
        <v>37560</v>
      </c>
      <c r="M8" s="96">
        <f>M13+M18</f>
        <v>2594780</v>
      </c>
      <c r="N8" s="184">
        <v>0</v>
      </c>
      <c r="O8" s="184"/>
      <c r="P8" s="104">
        <f>SUM(J8:N8)</f>
        <v>8816940</v>
      </c>
      <c r="W8" s="5"/>
    </row>
    <row r="9" spans="1:23" ht="30">
      <c r="A9" s="546"/>
      <c r="B9" s="546"/>
      <c r="C9" s="69" t="s">
        <v>192</v>
      </c>
      <c r="D9" s="185"/>
      <c r="E9" s="182" t="s">
        <v>48</v>
      </c>
      <c r="F9" s="524" t="s">
        <v>48</v>
      </c>
      <c r="G9" s="525"/>
      <c r="H9" s="526"/>
      <c r="I9" s="182" t="s">
        <v>48</v>
      </c>
      <c r="J9" s="184">
        <f>J14++J19+J24</f>
        <v>4022906.0900000003</v>
      </c>
      <c r="K9" s="184">
        <f>K14+K24+K19</f>
        <v>3072008.16</v>
      </c>
      <c r="L9" s="184">
        <f>L14+L19+L24</f>
        <v>2290892.2999999998</v>
      </c>
      <c r="M9" s="96">
        <f>M14+M19+M24</f>
        <v>20200582.75</v>
      </c>
      <c r="N9" s="184">
        <f>N16++N19+N24</f>
        <v>0</v>
      </c>
      <c r="O9" s="184"/>
      <c r="P9" s="104">
        <f>SUM(J9:N9)</f>
        <v>29586389.300000001</v>
      </c>
      <c r="W9" s="5"/>
    </row>
    <row r="10" spans="1:23" ht="40.5" customHeight="1">
      <c r="A10" s="531"/>
      <c r="B10" s="531"/>
      <c r="C10" s="69" t="s">
        <v>193</v>
      </c>
      <c r="D10" s="185"/>
      <c r="E10" s="182" t="s">
        <v>48</v>
      </c>
      <c r="F10" s="524" t="s">
        <v>48</v>
      </c>
      <c r="G10" s="525"/>
      <c r="H10" s="526"/>
      <c r="I10" s="182" t="s">
        <v>48</v>
      </c>
      <c r="J10" s="184">
        <f>J15+J20+J25</f>
        <v>55136227.536420003</v>
      </c>
      <c r="K10" s="184">
        <f>K15+K20+K25</f>
        <v>56900689.119999997</v>
      </c>
      <c r="L10" s="184">
        <f>L15+L20+L25</f>
        <v>56819251.199999996</v>
      </c>
      <c r="M10" s="184">
        <f>M15+M20+M25</f>
        <v>60094595.590000004</v>
      </c>
      <c r="N10" s="184">
        <f>N15+N20+N25</f>
        <v>56661609.940000005</v>
      </c>
      <c r="O10" s="184">
        <f>O15+O20+O25</f>
        <v>56661609.940000005</v>
      </c>
      <c r="P10" s="104">
        <f>SUM(J10:O10)</f>
        <v>342273983.32642001</v>
      </c>
      <c r="R10" s="5">
        <v>2809386.2</v>
      </c>
      <c r="S10" s="5">
        <v>2813055.3</v>
      </c>
      <c r="T10" s="5">
        <v>2810976</v>
      </c>
    </row>
    <row r="11" spans="1:23" ht="17.25" hidden="1" customHeight="1">
      <c r="A11" s="547"/>
      <c r="B11" s="547"/>
      <c r="C11" s="183"/>
      <c r="D11" s="185"/>
      <c r="E11" s="182"/>
      <c r="F11" s="524"/>
      <c r="G11" s="525"/>
      <c r="H11" s="526"/>
      <c r="I11" s="182"/>
      <c r="J11" s="104"/>
      <c r="K11" s="104"/>
      <c r="L11" s="104"/>
      <c r="M11" s="96"/>
      <c r="N11" s="104"/>
      <c r="O11" s="104"/>
      <c r="P11" s="104">
        <f t="shared" ref="P11:P24" si="1">SUM(J11:N11)</f>
        <v>0</v>
      </c>
      <c r="R11" s="5"/>
      <c r="S11" s="5"/>
      <c r="T11" s="5"/>
    </row>
    <row r="12" spans="1:23" ht="47.25">
      <c r="A12" s="531" t="s">
        <v>49</v>
      </c>
      <c r="B12" s="532" t="s">
        <v>144</v>
      </c>
      <c r="C12" s="278" t="s">
        <v>50</v>
      </c>
      <c r="D12" s="279"/>
      <c r="E12" s="279" t="s">
        <v>48</v>
      </c>
      <c r="F12" s="533" t="s">
        <v>48</v>
      </c>
      <c r="G12" s="534"/>
      <c r="H12" s="535"/>
      <c r="I12" s="279" t="s">
        <v>48</v>
      </c>
      <c r="J12" s="280">
        <f>J15+J14</f>
        <v>9957712.4564199988</v>
      </c>
      <c r="K12" s="280">
        <f>K15+K13+K14</f>
        <v>10484619.77</v>
      </c>
      <c r="L12" s="280">
        <f>L15+L13+L14</f>
        <v>10359883.650000002</v>
      </c>
      <c r="M12" s="280">
        <f>M15+M13+M14</f>
        <v>12794538.189999999</v>
      </c>
      <c r="N12" s="280">
        <f>N15+N13</f>
        <v>10486041.66</v>
      </c>
      <c r="O12" s="280">
        <f>O15+O13</f>
        <v>10486041.66</v>
      </c>
      <c r="P12" s="280">
        <f>SUM(J12:O12)</f>
        <v>64568837.386419997</v>
      </c>
    </row>
    <row r="13" spans="1:23" ht="51" customHeight="1">
      <c r="A13" s="531"/>
      <c r="B13" s="532"/>
      <c r="C13" s="69" t="s">
        <v>191</v>
      </c>
      <c r="D13" s="185" t="s">
        <v>74</v>
      </c>
      <c r="E13" s="182" t="s">
        <v>48</v>
      </c>
      <c r="F13" s="524" t="s">
        <v>48</v>
      </c>
      <c r="G13" s="525"/>
      <c r="H13" s="526"/>
      <c r="I13" s="182" t="s">
        <v>48</v>
      </c>
      <c r="J13" s="184">
        <v>0</v>
      </c>
      <c r="K13" s="104">
        <f>'прил 3'!K49</f>
        <v>3000</v>
      </c>
      <c r="L13" s="184">
        <f>2500-300</f>
        <v>2200</v>
      </c>
      <c r="M13" s="96">
        <f>'прил 2'!N14</f>
        <v>482300</v>
      </c>
      <c r="N13" s="184">
        <v>0</v>
      </c>
      <c r="O13" s="184"/>
      <c r="P13" s="104">
        <f t="shared" si="1"/>
        <v>487500</v>
      </c>
    </row>
    <row r="14" spans="1:23" ht="30">
      <c r="A14" s="531"/>
      <c r="B14" s="532"/>
      <c r="C14" s="69" t="s">
        <v>192</v>
      </c>
      <c r="D14" s="182"/>
      <c r="E14" s="182"/>
      <c r="F14" s="186"/>
      <c r="G14" s="187"/>
      <c r="H14" s="188"/>
      <c r="I14" s="182"/>
      <c r="J14" s="104">
        <f>27800+276124-6800+17407.21</f>
        <v>314531.21000000002</v>
      </c>
      <c r="K14" s="104">
        <f>'прил 3'!K50</f>
        <v>329979.43</v>
      </c>
      <c r="L14" s="104">
        <f>'прил 2'!M15</f>
        <v>121929.48000000001</v>
      </c>
      <c r="M14" s="104">
        <f>'прил 2'!N15</f>
        <v>1995508.51</v>
      </c>
      <c r="N14" s="104">
        <f>'прил 2'!O15</f>
        <v>0</v>
      </c>
      <c r="O14" s="104">
        <f>'прил 2'!P15</f>
        <v>0</v>
      </c>
      <c r="P14" s="104">
        <f>SUM(J14:N14)</f>
        <v>2761948.63</v>
      </c>
    </row>
    <row r="15" spans="1:23" ht="30">
      <c r="A15" s="531"/>
      <c r="B15" s="532"/>
      <c r="C15" s="69" t="s">
        <v>193</v>
      </c>
      <c r="D15" s="185"/>
      <c r="E15" s="182"/>
      <c r="F15" s="524"/>
      <c r="G15" s="525"/>
      <c r="H15" s="526"/>
      <c r="I15" s="182"/>
      <c r="J15" s="104">
        <f>'прил 3'!J51</f>
        <v>9643181.2464199979</v>
      </c>
      <c r="K15" s="104">
        <f>'прил 3'!K51</f>
        <v>10151640.34</v>
      </c>
      <c r="L15" s="104">
        <f>'прил 3'!L51</f>
        <v>10235754.170000002</v>
      </c>
      <c r="M15" s="96">
        <f>'прил 2'!N16</f>
        <v>10316729.68</v>
      </c>
      <c r="N15" s="104">
        <f>'прил 3'!N51</f>
        <v>10486041.66</v>
      </c>
      <c r="O15" s="104">
        <f>'прил 3'!O51</f>
        <v>10486041.66</v>
      </c>
      <c r="P15" s="104">
        <f>SUM(J15:O16)</f>
        <v>61319388.756420001</v>
      </c>
    </row>
    <row r="16" spans="1:23" hidden="1">
      <c r="A16" s="531"/>
      <c r="B16" s="532"/>
      <c r="C16" s="183"/>
      <c r="D16" s="103"/>
      <c r="E16" s="182"/>
      <c r="F16" s="524"/>
      <c r="G16" s="525"/>
      <c r="H16" s="526"/>
      <c r="I16" s="182"/>
      <c r="J16" s="180"/>
      <c r="K16" s="104"/>
      <c r="L16" s="104"/>
      <c r="M16" s="96"/>
      <c r="N16" s="104"/>
      <c r="O16" s="104"/>
      <c r="P16" s="104">
        <f t="shared" si="1"/>
        <v>0</v>
      </c>
    </row>
    <row r="17" spans="1:16" ht="31.5" customHeight="1">
      <c r="A17" s="543" t="s">
        <v>51</v>
      </c>
      <c r="B17" s="536" t="s">
        <v>145</v>
      </c>
      <c r="C17" s="325" t="s">
        <v>52</v>
      </c>
      <c r="D17" s="185"/>
      <c r="E17" s="324" t="s">
        <v>48</v>
      </c>
      <c r="F17" s="524" t="s">
        <v>48</v>
      </c>
      <c r="G17" s="525"/>
      <c r="H17" s="526"/>
      <c r="I17" s="324" t="s">
        <v>48</v>
      </c>
      <c r="J17" s="104">
        <f t="shared" ref="J17:O17" si="2">J20+J19+J18</f>
        <v>41738870.470000006</v>
      </c>
      <c r="K17" s="104">
        <f t="shared" si="2"/>
        <v>34136465.450000003</v>
      </c>
      <c r="L17" s="104">
        <f t="shared" si="2"/>
        <v>35072850.270000003</v>
      </c>
      <c r="M17" s="96">
        <f t="shared" si="2"/>
        <v>40899338.180000007</v>
      </c>
      <c r="N17" s="104">
        <f>N20+N19+N18</f>
        <v>33718876.650000006</v>
      </c>
      <c r="O17" s="104">
        <f t="shared" si="2"/>
        <v>33718876.650000006</v>
      </c>
      <c r="P17" s="104">
        <f>SUM(J17:O17)</f>
        <v>219285277.67000005</v>
      </c>
    </row>
    <row r="18" spans="1:16" ht="39" customHeight="1">
      <c r="A18" s="544"/>
      <c r="B18" s="537"/>
      <c r="C18" s="69" t="s">
        <v>191</v>
      </c>
      <c r="D18" s="185"/>
      <c r="E18" s="324" t="s">
        <v>48</v>
      </c>
      <c r="F18" s="524" t="s">
        <v>48</v>
      </c>
      <c r="G18" s="525"/>
      <c r="H18" s="526"/>
      <c r="I18" s="324" t="s">
        <v>48</v>
      </c>
      <c r="J18" s="104">
        <v>6181600</v>
      </c>
      <c r="K18" s="104">
        <v>0</v>
      </c>
      <c r="L18" s="104">
        <v>0</v>
      </c>
      <c r="M18" s="96">
        <f>'прил 2'!N58</f>
        <v>2112480</v>
      </c>
      <c r="N18" s="104">
        <v>0</v>
      </c>
      <c r="O18" s="104"/>
      <c r="P18" s="104">
        <f t="shared" si="1"/>
        <v>8294080</v>
      </c>
    </row>
    <row r="19" spans="1:16" ht="30">
      <c r="A19" s="544"/>
      <c r="B19" s="537"/>
      <c r="C19" s="69" t="s">
        <v>192</v>
      </c>
      <c r="D19" s="319"/>
      <c r="E19" s="324" t="s">
        <v>48</v>
      </c>
      <c r="F19" s="524" t="s">
        <v>48</v>
      </c>
      <c r="G19" s="525"/>
      <c r="H19" s="526"/>
      <c r="I19" s="324" t="s">
        <v>48</v>
      </c>
      <c r="J19" s="104">
        <f>556913.66+125691.96+1860000+197569.99</f>
        <v>2740175.6100000003</v>
      </c>
      <c r="K19" s="104">
        <f>'прил 4'!K61</f>
        <v>1479370.68</v>
      </c>
      <c r="L19" s="104">
        <f>'прил 2'!M59</f>
        <v>1291232.52</v>
      </c>
      <c r="M19" s="96">
        <f>'прил 4'!M61</f>
        <v>5258950.1000000006</v>
      </c>
      <c r="N19" s="104">
        <f>'прил 4'!N61</f>
        <v>0</v>
      </c>
      <c r="O19" s="104"/>
      <c r="P19" s="104">
        <f t="shared" si="1"/>
        <v>10769728.91</v>
      </c>
    </row>
    <row r="20" spans="1:16" ht="44.25" customHeight="1">
      <c r="A20" s="544"/>
      <c r="B20" s="537"/>
      <c r="C20" s="69" t="s">
        <v>193</v>
      </c>
      <c r="D20" s="185" t="s">
        <v>74</v>
      </c>
      <c r="E20" s="324" t="s">
        <v>48</v>
      </c>
      <c r="F20" s="524" t="s">
        <v>48</v>
      </c>
      <c r="G20" s="525"/>
      <c r="H20" s="526"/>
      <c r="I20" s="324" t="s">
        <v>48</v>
      </c>
      <c r="J20" s="104">
        <f>'прил 4'!J62</f>
        <v>32817094.860000007</v>
      </c>
      <c r="K20" s="104">
        <f>'прил 4'!K62</f>
        <v>32657094.770000003</v>
      </c>
      <c r="L20" s="104">
        <f>'прил 2'!M60</f>
        <v>33781617.75</v>
      </c>
      <c r="M20" s="96">
        <f>'прил 4'!M62</f>
        <v>33527908.080000006</v>
      </c>
      <c r="N20" s="104">
        <f>'прил 4'!N62</f>
        <v>33718876.650000006</v>
      </c>
      <c r="O20" s="104">
        <f>'прил 4'!O62</f>
        <v>33718876.650000006</v>
      </c>
      <c r="P20" s="104">
        <f>SUM(J20:O20)</f>
        <v>200221468.76000002</v>
      </c>
    </row>
    <row r="21" spans="1:16" hidden="1">
      <c r="A21" s="545"/>
      <c r="B21" s="538"/>
      <c r="C21" s="325"/>
      <c r="D21" s="185"/>
      <c r="E21" s="324"/>
      <c r="F21" s="321"/>
      <c r="G21" s="322"/>
      <c r="H21" s="323"/>
      <c r="I21" s="324"/>
      <c r="J21" s="104"/>
      <c r="K21" s="104"/>
      <c r="L21" s="104"/>
      <c r="M21" s="96"/>
      <c r="N21" s="104"/>
      <c r="O21" s="104"/>
      <c r="P21" s="104">
        <f t="shared" si="1"/>
        <v>0</v>
      </c>
    </row>
    <row r="22" spans="1:16" ht="45">
      <c r="A22" s="531" t="s">
        <v>53</v>
      </c>
      <c r="B22" s="541" t="s">
        <v>196</v>
      </c>
      <c r="C22" s="183" t="s">
        <v>50</v>
      </c>
      <c r="D22" s="185"/>
      <c r="E22" s="182" t="s">
        <v>48</v>
      </c>
      <c r="F22" s="524" t="s">
        <v>48</v>
      </c>
      <c r="G22" s="525"/>
      <c r="H22" s="526"/>
      <c r="I22" s="182" t="s">
        <v>48</v>
      </c>
      <c r="J22" s="184">
        <f>J25+J24</f>
        <v>13644150.699999999</v>
      </c>
      <c r="K22" s="184">
        <f>K25+K24</f>
        <v>15354612.059999999</v>
      </c>
      <c r="L22" s="184">
        <f>L25+L24+L23</f>
        <v>13714969.579999996</v>
      </c>
      <c r="M22" s="96">
        <f>M25+M24</f>
        <v>29196081.970000003</v>
      </c>
      <c r="N22" s="184">
        <f>N25+N24</f>
        <v>12456691.630000001</v>
      </c>
      <c r="O22" s="184">
        <f>O25+O24</f>
        <v>12456691.630000001</v>
      </c>
      <c r="P22" s="104">
        <f>SUM(J22:O22)</f>
        <v>96823197.569999993</v>
      </c>
    </row>
    <row r="23" spans="1:16" s="55" customFormat="1" ht="45">
      <c r="A23" s="531"/>
      <c r="B23" s="541"/>
      <c r="C23" s="69" t="s">
        <v>287</v>
      </c>
      <c r="D23" s="185"/>
      <c r="E23" s="182"/>
      <c r="F23" s="186"/>
      <c r="G23" s="187"/>
      <c r="H23" s="188"/>
      <c r="I23" s="182"/>
      <c r="J23" s="184"/>
      <c r="K23" s="184"/>
      <c r="L23" s="184">
        <f>'прил 2'!M114</f>
        <v>35360</v>
      </c>
      <c r="M23" s="96"/>
      <c r="N23" s="184"/>
      <c r="O23" s="184"/>
      <c r="P23" s="104">
        <f t="shared" si="1"/>
        <v>35360</v>
      </c>
    </row>
    <row r="24" spans="1:16" ht="30">
      <c r="A24" s="531"/>
      <c r="B24" s="541"/>
      <c r="C24" s="69" t="s">
        <v>192</v>
      </c>
      <c r="D24" s="103"/>
      <c r="E24" s="182" t="s">
        <v>48</v>
      </c>
      <c r="F24" s="524" t="s">
        <v>48</v>
      </c>
      <c r="G24" s="525"/>
      <c r="H24" s="526"/>
      <c r="I24" s="182" t="s">
        <v>48</v>
      </c>
      <c r="J24" s="184">
        <f>155500+269769.2+65974.35+400000+76955.72</f>
        <v>968199.27</v>
      </c>
      <c r="K24" s="189">
        <f>ПП3!K80</f>
        <v>1262658.05</v>
      </c>
      <c r="L24" s="189">
        <f>'прил 2'!M115</f>
        <v>877730.3</v>
      </c>
      <c r="M24" s="293">
        <f>ПП3!M80</f>
        <v>12946124.140000001</v>
      </c>
      <c r="N24" s="190">
        <v>0</v>
      </c>
      <c r="O24" s="190"/>
      <c r="P24" s="104">
        <f t="shared" si="1"/>
        <v>16054711.760000002</v>
      </c>
    </row>
    <row r="25" spans="1:16" ht="45">
      <c r="A25" s="531"/>
      <c r="B25" s="541"/>
      <c r="C25" s="69" t="s">
        <v>193</v>
      </c>
      <c r="D25" s="185" t="s">
        <v>74</v>
      </c>
      <c r="E25" s="182" t="s">
        <v>48</v>
      </c>
      <c r="F25" s="524" t="s">
        <v>48</v>
      </c>
      <c r="G25" s="525"/>
      <c r="H25" s="526"/>
      <c r="I25" s="182" t="s">
        <v>48</v>
      </c>
      <c r="J25" s="184">
        <f>ПП3!J81</f>
        <v>12675951.43</v>
      </c>
      <c r="K25" s="184">
        <f>ПП3!K81</f>
        <v>14091954.009999998</v>
      </c>
      <c r="L25" s="184">
        <f>ПП3!L81</f>
        <v>12801879.279999996</v>
      </c>
      <c r="M25" s="96">
        <f>ПП3!M81</f>
        <v>16249957.830000002</v>
      </c>
      <c r="N25" s="184">
        <f>ПП3!N81</f>
        <v>12456691.630000001</v>
      </c>
      <c r="O25" s="184">
        <f>ПП3!O81</f>
        <v>12456691.630000001</v>
      </c>
      <c r="P25" s="104">
        <f>SUM(J25:O25)</f>
        <v>80733125.809999987</v>
      </c>
    </row>
    <row r="26" spans="1:16">
      <c r="D26" s="6"/>
      <c r="E26" s="6"/>
      <c r="F26" s="6"/>
      <c r="G26" s="6"/>
      <c r="H26" s="6"/>
      <c r="I26" s="6"/>
    </row>
    <row r="27" spans="1:16" s="7" customFormat="1" ht="51.75" customHeight="1">
      <c r="A27" s="542"/>
      <c r="B27" s="542"/>
      <c r="C27" s="542"/>
      <c r="D27" s="542"/>
      <c r="L27" s="540"/>
      <c r="M27" s="540"/>
      <c r="N27" s="540"/>
      <c r="O27" s="540"/>
      <c r="P27" s="540"/>
    </row>
    <row r="28" spans="1:16" s="9" customFormat="1" hidden="1">
      <c r="A28" s="527" t="s">
        <v>2</v>
      </c>
      <c r="B28" s="527"/>
      <c r="C28" s="527"/>
      <c r="D28" s="527"/>
      <c r="E28" s="528"/>
      <c r="F28" s="528"/>
      <c r="G28" s="528"/>
      <c r="H28" s="528"/>
      <c r="I28" s="528"/>
      <c r="J28" s="8"/>
      <c r="K28" s="8"/>
      <c r="N28" s="40"/>
      <c r="O28" s="56"/>
      <c r="P28" s="9" t="s">
        <v>1</v>
      </c>
    </row>
    <row r="29" spans="1:16" hidden="1"/>
    <row r="30" spans="1:16" hidden="1"/>
    <row r="31" spans="1:16" hidden="1"/>
  </sheetData>
  <mergeCells count="37">
    <mergeCell ref="L1:P1"/>
    <mergeCell ref="L27:P27"/>
    <mergeCell ref="F24:H24"/>
    <mergeCell ref="A22:A25"/>
    <mergeCell ref="B22:B25"/>
    <mergeCell ref="F22:H22"/>
    <mergeCell ref="F25:H25"/>
    <mergeCell ref="A27:D27"/>
    <mergeCell ref="A17:A21"/>
    <mergeCell ref="F16:H16"/>
    <mergeCell ref="A7:A11"/>
    <mergeCell ref="B7:B11"/>
    <mergeCell ref="F7:H7"/>
    <mergeCell ref="F10:H10"/>
    <mergeCell ref="F11:H11"/>
    <mergeCell ref="F13:H13"/>
    <mergeCell ref="F17:H17"/>
    <mergeCell ref="F20:H20"/>
    <mergeCell ref="F19:H19"/>
    <mergeCell ref="F18:H18"/>
    <mergeCell ref="B17:B21"/>
    <mergeCell ref="L2:P2"/>
    <mergeCell ref="F8:H8"/>
    <mergeCell ref="F9:H9"/>
    <mergeCell ref="A28:D28"/>
    <mergeCell ref="E28:I28"/>
    <mergeCell ref="A3:P3"/>
    <mergeCell ref="A5:A6"/>
    <mergeCell ref="B5:B6"/>
    <mergeCell ref="C5:C6"/>
    <mergeCell ref="D5:I5"/>
    <mergeCell ref="J5:P5"/>
    <mergeCell ref="F6:H6"/>
    <mergeCell ref="A12:A16"/>
    <mergeCell ref="B12:B16"/>
    <mergeCell ref="F12:H12"/>
    <mergeCell ref="F15:H15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5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58"/>
  <sheetViews>
    <sheetView view="pageBreakPreview" zoomScale="64" zoomScaleNormal="85" zoomScaleSheetLayoutView="64" workbookViewId="0">
      <selection activeCell="L2" sqref="L2"/>
    </sheetView>
  </sheetViews>
  <sheetFormatPr defaultColWidth="9.140625" defaultRowHeight="15.75"/>
  <cols>
    <col min="1" max="1" width="7.7109375" style="12" customWidth="1"/>
    <col min="2" max="2" width="27.5703125" style="9" customWidth="1"/>
    <col min="3" max="3" width="16.140625" style="9" customWidth="1"/>
    <col min="4" max="5" width="9.140625" style="9"/>
    <col min="6" max="6" width="4.5703125" style="9" customWidth="1"/>
    <col min="7" max="7" width="2.42578125" style="9" customWidth="1"/>
    <col min="8" max="8" width="12" style="9" customWidth="1"/>
    <col min="9" max="9" width="9.140625" style="9"/>
    <col min="10" max="10" width="18.42578125" style="9" customWidth="1"/>
    <col min="11" max="11" width="19.7109375" style="9" customWidth="1"/>
    <col min="12" max="12" width="19.5703125" style="9" customWidth="1"/>
    <col min="13" max="13" width="20.7109375" style="441" customWidth="1"/>
    <col min="14" max="14" width="19.5703125" style="40" customWidth="1"/>
    <col min="15" max="15" width="19.42578125" style="56" customWidth="1"/>
    <col min="16" max="16" width="23" style="9" customWidth="1"/>
    <col min="17" max="17" width="20.42578125" style="9" customWidth="1"/>
    <col min="18" max="18" width="23.5703125" style="9" customWidth="1"/>
    <col min="19" max="16384" width="9.140625" style="9"/>
  </cols>
  <sheetData>
    <row r="1" spans="1:18" ht="83.25" customHeight="1">
      <c r="A1" s="299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434"/>
      <c r="N1" s="132"/>
      <c r="O1" s="132"/>
      <c r="P1" s="548" t="s">
        <v>356</v>
      </c>
      <c r="Q1" s="548"/>
    </row>
    <row r="2" spans="1:18" ht="90.75" customHeight="1">
      <c r="A2" s="299"/>
      <c r="B2" s="132"/>
      <c r="C2" s="132"/>
      <c r="D2" s="132"/>
      <c r="E2" s="550"/>
      <c r="F2" s="551"/>
      <c r="G2" s="551"/>
      <c r="H2" s="132"/>
      <c r="I2" s="132"/>
      <c r="J2" s="132"/>
      <c r="K2" s="132"/>
      <c r="L2" s="300"/>
      <c r="M2" s="300"/>
      <c r="N2" s="300"/>
      <c r="O2" s="300"/>
      <c r="P2" s="548" t="s">
        <v>171</v>
      </c>
      <c r="Q2" s="548"/>
      <c r="R2" s="1"/>
    </row>
    <row r="3" spans="1:18" ht="51" customHeight="1">
      <c r="A3" s="549" t="s">
        <v>226</v>
      </c>
      <c r="B3" s="549"/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49"/>
      <c r="Q3" s="301"/>
    </row>
    <row r="4" spans="1:18">
      <c r="A4" s="299"/>
      <c r="B4" s="132"/>
      <c r="C4" s="132"/>
      <c r="D4" s="132"/>
      <c r="E4" s="302"/>
      <c r="F4" s="303" t="s">
        <v>29</v>
      </c>
      <c r="G4" s="302">
        <v>1</v>
      </c>
      <c r="H4" s="302"/>
      <c r="I4" s="132"/>
      <c r="J4" s="132"/>
      <c r="K4" s="132"/>
      <c r="L4" s="132"/>
      <c r="M4" s="434"/>
      <c r="N4" s="132"/>
      <c r="O4" s="132"/>
      <c r="P4" s="132"/>
      <c r="Q4" s="132"/>
    </row>
    <row r="5" spans="1:18" ht="18" customHeight="1">
      <c r="A5" s="571" t="s">
        <v>3</v>
      </c>
      <c r="B5" s="462" t="s">
        <v>282</v>
      </c>
      <c r="C5" s="560" t="s">
        <v>229</v>
      </c>
      <c r="D5" s="560" t="s">
        <v>4</v>
      </c>
      <c r="E5" s="560"/>
      <c r="F5" s="560"/>
      <c r="G5" s="560"/>
      <c r="H5" s="560"/>
      <c r="I5" s="560"/>
      <c r="J5" s="562" t="s">
        <v>225</v>
      </c>
      <c r="K5" s="563"/>
      <c r="L5" s="563"/>
      <c r="M5" s="563"/>
      <c r="N5" s="563"/>
      <c r="O5" s="563"/>
      <c r="P5" s="564"/>
      <c r="Q5" s="560" t="s">
        <v>5</v>
      </c>
    </row>
    <row r="6" spans="1:18" ht="83.25" customHeight="1">
      <c r="A6" s="571"/>
      <c r="B6" s="463"/>
      <c r="C6" s="560"/>
      <c r="D6" s="68" t="s">
        <v>6</v>
      </c>
      <c r="E6" s="68" t="s">
        <v>7</v>
      </c>
      <c r="F6" s="562" t="s">
        <v>8</v>
      </c>
      <c r="G6" s="563"/>
      <c r="H6" s="564"/>
      <c r="I6" s="68" t="s">
        <v>9</v>
      </c>
      <c r="J6" s="68" t="s">
        <v>10</v>
      </c>
      <c r="K6" s="68" t="s">
        <v>11</v>
      </c>
      <c r="L6" s="68" t="s">
        <v>12</v>
      </c>
      <c r="M6" s="435" t="s">
        <v>159</v>
      </c>
      <c r="N6" s="68" t="s">
        <v>242</v>
      </c>
      <c r="O6" s="68" t="s">
        <v>290</v>
      </c>
      <c r="P6" s="68" t="s">
        <v>289</v>
      </c>
      <c r="Q6" s="560"/>
    </row>
    <row r="7" spans="1:18" ht="23.25" customHeight="1">
      <c r="A7" s="103"/>
      <c r="B7" s="568" t="s">
        <v>220</v>
      </c>
      <c r="C7" s="569"/>
      <c r="D7" s="569"/>
      <c r="E7" s="569"/>
      <c r="F7" s="569"/>
      <c r="G7" s="569"/>
      <c r="H7" s="569"/>
      <c r="I7" s="569"/>
      <c r="J7" s="569"/>
      <c r="K7" s="569"/>
      <c r="L7" s="569"/>
      <c r="M7" s="569"/>
      <c r="N7" s="569"/>
      <c r="O7" s="569"/>
      <c r="P7" s="570"/>
      <c r="Q7" s="64"/>
    </row>
    <row r="8" spans="1:18" ht="33.75" customHeight="1">
      <c r="A8" s="192" t="s">
        <v>13</v>
      </c>
      <c r="B8" s="565" t="s">
        <v>68</v>
      </c>
      <c r="C8" s="566"/>
      <c r="D8" s="566"/>
      <c r="E8" s="566"/>
      <c r="F8" s="566"/>
      <c r="G8" s="566"/>
      <c r="H8" s="566"/>
      <c r="I8" s="566"/>
      <c r="J8" s="566"/>
      <c r="K8" s="566"/>
      <c r="L8" s="566"/>
      <c r="M8" s="566"/>
      <c r="N8" s="566"/>
      <c r="O8" s="566"/>
      <c r="P8" s="567"/>
      <c r="Q8" s="193"/>
    </row>
    <row r="9" spans="1:18" ht="22.5" customHeight="1">
      <c r="A9" s="552" t="s">
        <v>30</v>
      </c>
      <c r="B9" s="558" t="s">
        <v>119</v>
      </c>
      <c r="C9" s="98" t="s">
        <v>56</v>
      </c>
      <c r="D9" s="103" t="s">
        <v>74</v>
      </c>
      <c r="E9" s="103" t="s">
        <v>27</v>
      </c>
      <c r="F9" s="158" t="s">
        <v>77</v>
      </c>
      <c r="G9" s="159">
        <v>1</v>
      </c>
      <c r="H9" s="79" t="s">
        <v>244</v>
      </c>
      <c r="I9" s="194" t="s">
        <v>79</v>
      </c>
      <c r="J9" s="104">
        <f>4571585.14+165003.07</f>
        <v>4736588.21</v>
      </c>
      <c r="K9" s="104">
        <f>4807782.33-88</f>
        <v>4807694.33</v>
      </c>
      <c r="L9" s="81">
        <f>4922469.22</f>
        <v>4922469.22</v>
      </c>
      <c r="M9" s="96">
        <f>4953804.01-148890</f>
        <v>4804914.01</v>
      </c>
      <c r="N9" s="104">
        <f>M9+148890</f>
        <v>4953804.01</v>
      </c>
      <c r="O9" s="104">
        <f>N9</f>
        <v>4953804.01</v>
      </c>
      <c r="P9" s="104">
        <f>SUM(J9:O9)</f>
        <v>29179273.789999992</v>
      </c>
      <c r="Q9" s="555" t="s">
        <v>82</v>
      </c>
      <c r="R9" s="9" t="s">
        <v>188</v>
      </c>
    </row>
    <row r="10" spans="1:18" s="44" customFormat="1" ht="25.5" customHeight="1">
      <c r="A10" s="553"/>
      <c r="B10" s="559"/>
      <c r="C10" s="98" t="s">
        <v>56</v>
      </c>
      <c r="D10" s="103" t="s">
        <v>74</v>
      </c>
      <c r="E10" s="103" t="s">
        <v>27</v>
      </c>
      <c r="F10" s="177" t="s">
        <v>77</v>
      </c>
      <c r="G10" s="159">
        <v>1</v>
      </c>
      <c r="H10" s="79" t="s">
        <v>244</v>
      </c>
      <c r="I10" s="174" t="s">
        <v>278</v>
      </c>
      <c r="J10" s="104">
        <v>1430437.95</v>
      </c>
      <c r="K10" s="104">
        <v>1451923.68</v>
      </c>
      <c r="L10" s="81">
        <f>1486585.71</f>
        <v>1486585.71</v>
      </c>
      <c r="M10" s="96">
        <f>1496048.81-44964.78+121665.19</f>
        <v>1572749.22</v>
      </c>
      <c r="N10" s="104">
        <f>M10+44964.78-121665.19</f>
        <v>1496048.81</v>
      </c>
      <c r="O10" s="104">
        <f t="shared" ref="O10" si="0">N10</f>
        <v>1496048.81</v>
      </c>
      <c r="P10" s="104">
        <f>SUM(J10:O10)</f>
        <v>8933794.1799999997</v>
      </c>
      <c r="Q10" s="556"/>
    </row>
    <row r="11" spans="1:18" s="24" customFormat="1" ht="23.25" customHeight="1">
      <c r="A11" s="553"/>
      <c r="B11" s="559"/>
      <c r="C11" s="69" t="s">
        <v>56</v>
      </c>
      <c r="D11" s="83" t="s">
        <v>74</v>
      </c>
      <c r="E11" s="83" t="s">
        <v>27</v>
      </c>
      <c r="F11" s="84" t="s">
        <v>77</v>
      </c>
      <c r="G11" s="78">
        <v>1</v>
      </c>
      <c r="H11" s="83" t="s">
        <v>244</v>
      </c>
      <c r="I11" s="83" t="s">
        <v>128</v>
      </c>
      <c r="J11" s="81"/>
      <c r="K11" s="81">
        <v>1560</v>
      </c>
      <c r="L11" s="81">
        <v>2236.1999999999998</v>
      </c>
      <c r="M11" s="81">
        <v>562.05999999999995</v>
      </c>
      <c r="N11" s="81">
        <v>1560</v>
      </c>
      <c r="O11" s="81">
        <f t="shared" ref="O11" si="1">N11</f>
        <v>1560</v>
      </c>
      <c r="P11" s="81">
        <f>J11+K11+L11+M11+N11+O11</f>
        <v>7478.26</v>
      </c>
      <c r="Q11" s="556"/>
    </row>
    <row r="12" spans="1:18" ht="21" customHeight="1">
      <c r="A12" s="553"/>
      <c r="B12" s="559"/>
      <c r="C12" s="69" t="s">
        <v>56</v>
      </c>
      <c r="D12" s="83" t="s">
        <v>74</v>
      </c>
      <c r="E12" s="83" t="s">
        <v>27</v>
      </c>
      <c r="F12" s="84" t="s">
        <v>77</v>
      </c>
      <c r="G12" s="78">
        <v>1</v>
      </c>
      <c r="H12" s="83" t="s">
        <v>244</v>
      </c>
      <c r="I12" s="83" t="s">
        <v>28</v>
      </c>
      <c r="J12" s="81">
        <f>1019485-3.2+1687.2</f>
        <v>1021169</v>
      </c>
      <c r="K12" s="81">
        <f>1027352.04-3300-6800</f>
        <v>1017252.04</v>
      </c>
      <c r="L12" s="81">
        <v>1157926.8</v>
      </c>
      <c r="M12" s="81">
        <f>1012423-41+802.94-9800</f>
        <v>1003384.94</v>
      </c>
      <c r="N12" s="81">
        <f>1012423</f>
        <v>1012423</v>
      </c>
      <c r="O12" s="81">
        <f>N12</f>
        <v>1012423</v>
      </c>
      <c r="P12" s="81">
        <f>J12+K12+L12+M12+N12+O12</f>
        <v>6224578.7799999993</v>
      </c>
      <c r="Q12" s="556"/>
    </row>
    <row r="13" spans="1:18" s="56" customFormat="1" ht="20.25" customHeight="1">
      <c r="A13" s="553"/>
      <c r="B13" s="559"/>
      <c r="C13" s="334" t="s">
        <v>56</v>
      </c>
      <c r="D13" s="92" t="s">
        <v>74</v>
      </c>
      <c r="E13" s="93" t="s">
        <v>27</v>
      </c>
      <c r="F13" s="449" t="s">
        <v>77</v>
      </c>
      <c r="G13" s="450">
        <v>1</v>
      </c>
      <c r="H13" s="451" t="s">
        <v>244</v>
      </c>
      <c r="I13" s="93" t="s">
        <v>127</v>
      </c>
      <c r="J13" s="304">
        <v>150</v>
      </c>
      <c r="K13" s="304">
        <v>160</v>
      </c>
      <c r="L13" s="88">
        <v>160</v>
      </c>
      <c r="M13" s="304"/>
      <c r="N13" s="96"/>
      <c r="O13" s="96"/>
      <c r="P13" s="96">
        <f>J13+K13+L13+M13+N13+O13</f>
        <v>470</v>
      </c>
      <c r="Q13" s="556"/>
    </row>
    <row r="14" spans="1:18" ht="20.25" customHeight="1">
      <c r="A14" s="553"/>
      <c r="B14" s="559"/>
      <c r="C14" s="195" t="s">
        <v>56</v>
      </c>
      <c r="D14" s="99" t="s">
        <v>74</v>
      </c>
      <c r="E14" s="100" t="s">
        <v>27</v>
      </c>
      <c r="F14" s="370" t="s">
        <v>77</v>
      </c>
      <c r="G14" s="371">
        <v>1</v>
      </c>
      <c r="H14" s="372" t="s">
        <v>244</v>
      </c>
      <c r="I14" s="361">
        <v>853</v>
      </c>
      <c r="J14" s="369"/>
      <c r="K14" s="369"/>
      <c r="L14" s="369"/>
      <c r="M14" s="452">
        <v>160</v>
      </c>
      <c r="N14" s="376">
        <f>M14</f>
        <v>160</v>
      </c>
      <c r="O14" s="376">
        <f>N14</f>
        <v>160</v>
      </c>
      <c r="P14" s="104">
        <f>J14+K14+L14+M14+N14+O14</f>
        <v>480</v>
      </c>
      <c r="Q14" s="556"/>
    </row>
    <row r="15" spans="1:18" ht="127.5" customHeight="1">
      <c r="A15" s="553"/>
      <c r="B15" s="572" t="s">
        <v>138</v>
      </c>
      <c r="C15" s="195" t="s">
        <v>56</v>
      </c>
      <c r="D15" s="99" t="s">
        <v>74</v>
      </c>
      <c r="E15" s="100" t="s">
        <v>27</v>
      </c>
      <c r="F15" s="373" t="s">
        <v>77</v>
      </c>
      <c r="G15" s="374">
        <v>1</v>
      </c>
      <c r="H15" s="375" t="s">
        <v>252</v>
      </c>
      <c r="I15" s="199" t="s">
        <v>79</v>
      </c>
      <c r="J15" s="198">
        <v>129363.95</v>
      </c>
      <c r="K15" s="200">
        <f>87047.1+46225.91</f>
        <v>133273.01</v>
      </c>
      <c r="L15" s="88">
        <v>28042.02</v>
      </c>
      <c r="M15" s="304">
        <f>22404.8+10303.24</f>
        <v>32708.04</v>
      </c>
      <c r="N15" s="198"/>
      <c r="O15" s="198"/>
      <c r="P15" s="104">
        <f t="shared" ref="P15:P16" si="2">J15+K15+L15+M15+N15</f>
        <v>323387.02</v>
      </c>
      <c r="Q15" s="556"/>
    </row>
    <row r="16" spans="1:18" s="44" customFormat="1" ht="127.5" customHeight="1">
      <c r="A16" s="553"/>
      <c r="B16" s="573"/>
      <c r="C16" s="195" t="s">
        <v>56</v>
      </c>
      <c r="D16" s="99" t="s">
        <v>74</v>
      </c>
      <c r="E16" s="100" t="s">
        <v>27</v>
      </c>
      <c r="F16" s="196" t="s">
        <v>77</v>
      </c>
      <c r="G16" s="197">
        <v>1</v>
      </c>
      <c r="H16" s="86" t="s">
        <v>252</v>
      </c>
      <c r="I16" s="199" t="s">
        <v>278</v>
      </c>
      <c r="J16" s="198">
        <v>39067.919999999998</v>
      </c>
      <c r="K16" s="200">
        <f>26288.22+13960.23</f>
        <v>40248.449999999997</v>
      </c>
      <c r="L16" s="88">
        <v>8468.69</v>
      </c>
      <c r="M16" s="304">
        <f>6766.25+3111.58</f>
        <v>9877.83</v>
      </c>
      <c r="N16" s="198"/>
      <c r="O16" s="198"/>
      <c r="P16" s="104">
        <f t="shared" si="2"/>
        <v>97662.89</v>
      </c>
      <c r="Q16" s="556"/>
    </row>
    <row r="17" spans="1:18" ht="142.5" customHeight="1">
      <c r="A17" s="554"/>
      <c r="B17" s="125" t="s">
        <v>139</v>
      </c>
      <c r="C17" s="98" t="s">
        <v>56</v>
      </c>
      <c r="D17" s="99" t="s">
        <v>74</v>
      </c>
      <c r="E17" s="100" t="s">
        <v>27</v>
      </c>
      <c r="F17" s="101" t="s">
        <v>77</v>
      </c>
      <c r="G17" s="102">
        <v>1</v>
      </c>
      <c r="H17" s="100" t="s">
        <v>253</v>
      </c>
      <c r="I17" s="103" t="s">
        <v>79</v>
      </c>
      <c r="J17" s="104">
        <v>1306.71</v>
      </c>
      <c r="K17" s="104">
        <f>1371.86+88</f>
        <v>1459.86</v>
      </c>
      <c r="L17" s="96">
        <v>138.61000000000001</v>
      </c>
      <c r="M17" s="96"/>
      <c r="N17" s="104"/>
      <c r="O17" s="104"/>
      <c r="P17" s="104">
        <f>J17+K17+L17+M17+N17</f>
        <v>2905.18</v>
      </c>
      <c r="Q17" s="557"/>
    </row>
    <row r="18" spans="1:18" s="45" customFormat="1" ht="142.5" customHeight="1">
      <c r="A18" s="201"/>
      <c r="B18" s="125" t="s">
        <v>139</v>
      </c>
      <c r="C18" s="98" t="s">
        <v>56</v>
      </c>
      <c r="D18" s="99" t="s">
        <v>74</v>
      </c>
      <c r="E18" s="100" t="s">
        <v>27</v>
      </c>
      <c r="F18" s="101" t="s">
        <v>77</v>
      </c>
      <c r="G18" s="102">
        <v>1</v>
      </c>
      <c r="H18" s="100" t="s">
        <v>253</v>
      </c>
      <c r="I18" s="103" t="s">
        <v>278</v>
      </c>
      <c r="J18" s="104">
        <f>J17*30.2%</f>
        <v>394.62642</v>
      </c>
      <c r="K18" s="104">
        <f>414.3+26.58</f>
        <v>440.88</v>
      </c>
      <c r="L18" s="96">
        <v>41.86</v>
      </c>
      <c r="M18" s="96"/>
      <c r="N18" s="104"/>
      <c r="O18" s="104"/>
      <c r="P18" s="104">
        <f>J18+K18+L18+M18+N18</f>
        <v>877.36641999999995</v>
      </c>
      <c r="Q18" s="105"/>
    </row>
    <row r="19" spans="1:18" s="51" customFormat="1" ht="142.5" customHeight="1">
      <c r="A19" s="201"/>
      <c r="B19" s="106" t="s">
        <v>140</v>
      </c>
      <c r="C19" s="98" t="s">
        <v>56</v>
      </c>
      <c r="D19" s="99" t="s">
        <v>74</v>
      </c>
      <c r="E19" s="100" t="s">
        <v>27</v>
      </c>
      <c r="F19" s="101" t="s">
        <v>77</v>
      </c>
      <c r="G19" s="102">
        <v>1</v>
      </c>
      <c r="H19" s="100" t="s">
        <v>259</v>
      </c>
      <c r="I19" s="103" t="s">
        <v>79</v>
      </c>
      <c r="J19" s="104"/>
      <c r="K19" s="104"/>
      <c r="L19" s="96">
        <v>22877.15</v>
      </c>
      <c r="M19" s="96">
        <f>21898.06+4335.22</f>
        <v>26233.280000000002</v>
      </c>
      <c r="N19" s="104"/>
      <c r="O19" s="104"/>
      <c r="P19" s="104">
        <f t="shared" ref="P19:P22" si="3">J19+K19+L19+M19+N19</f>
        <v>49110.430000000008</v>
      </c>
      <c r="Q19" s="105"/>
    </row>
    <row r="20" spans="1:18" s="51" customFormat="1" ht="142.5" customHeight="1">
      <c r="A20" s="336"/>
      <c r="B20" s="326" t="s">
        <v>140</v>
      </c>
      <c r="C20" s="98" t="s">
        <v>56</v>
      </c>
      <c r="D20" s="99" t="s">
        <v>74</v>
      </c>
      <c r="E20" s="100" t="s">
        <v>27</v>
      </c>
      <c r="F20" s="101" t="s">
        <v>77</v>
      </c>
      <c r="G20" s="102">
        <v>1</v>
      </c>
      <c r="H20" s="100" t="s">
        <v>259</v>
      </c>
      <c r="I20" s="103" t="s">
        <v>278</v>
      </c>
      <c r="J20" s="104"/>
      <c r="K20" s="104"/>
      <c r="L20" s="96">
        <v>6908.9</v>
      </c>
      <c r="M20" s="96">
        <f>6613.22+1309.23</f>
        <v>7922.4500000000007</v>
      </c>
      <c r="N20" s="104"/>
      <c r="O20" s="104"/>
      <c r="P20" s="104">
        <f t="shared" si="3"/>
        <v>14831.35</v>
      </c>
      <c r="Q20" s="105"/>
    </row>
    <row r="21" spans="1:18" s="56" customFormat="1" ht="179.25" customHeight="1">
      <c r="A21" s="336"/>
      <c r="B21" s="276" t="s">
        <v>341</v>
      </c>
      <c r="C21" s="98" t="s">
        <v>56</v>
      </c>
      <c r="D21" s="99" t="s">
        <v>74</v>
      </c>
      <c r="E21" s="100" t="s">
        <v>27</v>
      </c>
      <c r="F21" s="101" t="s">
        <v>77</v>
      </c>
      <c r="G21" s="102">
        <v>1</v>
      </c>
      <c r="H21" s="100" t="s">
        <v>338</v>
      </c>
      <c r="I21" s="397" t="s">
        <v>79</v>
      </c>
      <c r="J21" s="104"/>
      <c r="K21" s="104"/>
      <c r="L21" s="96"/>
      <c r="M21" s="96">
        <f>362250.63+96608.4+333902.19+98459.94</f>
        <v>891221.15999999992</v>
      </c>
      <c r="N21" s="104"/>
      <c r="O21" s="104"/>
      <c r="P21" s="104">
        <f t="shared" si="3"/>
        <v>891221.15999999992</v>
      </c>
      <c r="Q21" s="400"/>
    </row>
    <row r="22" spans="1:18" s="56" customFormat="1" ht="176.25" customHeight="1">
      <c r="A22" s="336"/>
      <c r="B22" s="276" t="s">
        <v>341</v>
      </c>
      <c r="C22" s="98" t="s">
        <v>56</v>
      </c>
      <c r="D22" s="99" t="s">
        <v>74</v>
      </c>
      <c r="E22" s="100" t="s">
        <v>27</v>
      </c>
      <c r="F22" s="101" t="s">
        <v>77</v>
      </c>
      <c r="G22" s="102">
        <v>1</v>
      </c>
      <c r="H22" s="100" t="s">
        <v>338</v>
      </c>
      <c r="I22" s="397" t="s">
        <v>278</v>
      </c>
      <c r="J22" s="104"/>
      <c r="K22" s="104"/>
      <c r="L22" s="96"/>
      <c r="M22" s="96">
        <f>109399.69+29175.74+100838.46+29734.9</f>
        <v>269148.79000000004</v>
      </c>
      <c r="N22" s="104"/>
      <c r="O22" s="104"/>
      <c r="P22" s="104">
        <f t="shared" si="3"/>
        <v>269148.79000000004</v>
      </c>
      <c r="Q22" s="400"/>
    </row>
    <row r="23" spans="1:18" ht="83.25" customHeight="1">
      <c r="A23" s="202" t="s">
        <v>54</v>
      </c>
      <c r="B23" s="203" t="s">
        <v>120</v>
      </c>
      <c r="C23" s="98" t="s">
        <v>56</v>
      </c>
      <c r="D23" s="103" t="s">
        <v>74</v>
      </c>
      <c r="E23" s="103" t="s">
        <v>27</v>
      </c>
      <c r="F23" s="158" t="s">
        <v>77</v>
      </c>
      <c r="G23" s="159">
        <v>1</v>
      </c>
      <c r="H23" s="174" t="s">
        <v>245</v>
      </c>
      <c r="I23" s="103" t="s">
        <v>28</v>
      </c>
      <c r="J23" s="104">
        <f>5560+230+1160</f>
        <v>6950</v>
      </c>
      <c r="K23" s="104">
        <f>6120+236+6800</f>
        <v>13156</v>
      </c>
      <c r="L23" s="96">
        <f>13700</f>
        <v>13700</v>
      </c>
      <c r="M23" s="283"/>
      <c r="N23" s="136">
        <v>13700</v>
      </c>
      <c r="O23" s="136">
        <v>13700</v>
      </c>
      <c r="P23" s="104">
        <f>J23+K23+L23+M23+N23+O23</f>
        <v>61206</v>
      </c>
      <c r="Q23" s="204" t="s">
        <v>83</v>
      </c>
    </row>
    <row r="24" spans="1:18" ht="79.5" customHeight="1">
      <c r="A24" s="205" t="s">
        <v>57</v>
      </c>
      <c r="B24" s="206" t="s">
        <v>121</v>
      </c>
      <c r="C24" s="98" t="s">
        <v>56</v>
      </c>
      <c r="D24" s="92" t="s">
        <v>74</v>
      </c>
      <c r="E24" s="93" t="s">
        <v>27</v>
      </c>
      <c r="F24" s="196" t="s">
        <v>77</v>
      </c>
      <c r="G24" s="197">
        <v>1</v>
      </c>
      <c r="H24" s="86" t="s">
        <v>243</v>
      </c>
      <c r="I24" s="93" t="s">
        <v>28</v>
      </c>
      <c r="J24" s="104">
        <v>370000</v>
      </c>
      <c r="K24" s="104">
        <v>370000</v>
      </c>
      <c r="L24" s="96">
        <v>370000</v>
      </c>
      <c r="M24" s="283">
        <v>370000</v>
      </c>
      <c r="N24" s="136">
        <f>M24</f>
        <v>370000</v>
      </c>
      <c r="O24" s="136">
        <v>370000</v>
      </c>
      <c r="P24" s="104">
        <f>J24+K24+L24+M24+N24+O24</f>
        <v>2220000</v>
      </c>
      <c r="Q24" s="204"/>
    </row>
    <row r="25" spans="1:18" ht="278.25" customHeight="1">
      <c r="A25" s="205" t="s">
        <v>103</v>
      </c>
      <c r="B25" s="206" t="s">
        <v>303</v>
      </c>
      <c r="C25" s="98" t="s">
        <v>56</v>
      </c>
      <c r="D25" s="92" t="s">
        <v>74</v>
      </c>
      <c r="E25" s="93" t="s">
        <v>27</v>
      </c>
      <c r="F25" s="196" t="s">
        <v>77</v>
      </c>
      <c r="G25" s="197">
        <v>1</v>
      </c>
      <c r="H25" s="86" t="s">
        <v>254</v>
      </c>
      <c r="I25" s="93" t="s">
        <v>28</v>
      </c>
      <c r="J25" s="104">
        <f>27800-6800</f>
        <v>21000</v>
      </c>
      <c r="K25" s="104">
        <f>30600-7700+27200</f>
        <v>50100</v>
      </c>
      <c r="L25" s="81">
        <v>41100</v>
      </c>
      <c r="M25" s="96"/>
      <c r="N25" s="104"/>
      <c r="O25" s="104"/>
      <c r="P25" s="104">
        <f t="shared" ref="P25:P36" si="4">J25+K25+L25+M25+N25</f>
        <v>112200</v>
      </c>
      <c r="Q25" s="204"/>
      <c r="R25" s="33" t="s">
        <v>214</v>
      </c>
    </row>
    <row r="26" spans="1:18" s="56" customFormat="1" ht="170.25" customHeight="1">
      <c r="A26" s="205" t="s">
        <v>160</v>
      </c>
      <c r="B26" s="206" t="s">
        <v>304</v>
      </c>
      <c r="C26" s="98" t="s">
        <v>56</v>
      </c>
      <c r="D26" s="92" t="s">
        <v>74</v>
      </c>
      <c r="E26" s="93" t="s">
        <v>27</v>
      </c>
      <c r="F26" s="196" t="s">
        <v>77</v>
      </c>
      <c r="G26" s="197">
        <v>1</v>
      </c>
      <c r="H26" s="86" t="s">
        <v>305</v>
      </c>
      <c r="I26" s="93" t="s">
        <v>28</v>
      </c>
      <c r="J26" s="104"/>
      <c r="K26" s="104"/>
      <c r="L26" s="81"/>
      <c r="M26" s="96">
        <f>41300</f>
        <v>41300</v>
      </c>
      <c r="N26" s="104"/>
      <c r="O26" s="104"/>
      <c r="P26" s="104">
        <f t="shared" si="4"/>
        <v>41300</v>
      </c>
      <c r="Q26" s="204"/>
    </row>
    <row r="27" spans="1:18" ht="111" customHeight="1">
      <c r="A27" s="205" t="s">
        <v>173</v>
      </c>
      <c r="B27" s="206" t="s">
        <v>167</v>
      </c>
      <c r="C27" s="98" t="s">
        <v>56</v>
      </c>
      <c r="D27" s="92" t="s">
        <v>74</v>
      </c>
      <c r="E27" s="93" t="s">
        <v>27</v>
      </c>
      <c r="F27" s="196" t="s">
        <v>77</v>
      </c>
      <c r="G27" s="197">
        <v>1</v>
      </c>
      <c r="H27" s="86" t="s">
        <v>246</v>
      </c>
      <c r="I27" s="93" t="s">
        <v>28</v>
      </c>
      <c r="J27" s="104">
        <v>0</v>
      </c>
      <c r="K27" s="104">
        <f>3300-300</f>
        <v>3000</v>
      </c>
      <c r="L27" s="81">
        <f>2500-300</f>
        <v>2200</v>
      </c>
      <c r="M27" s="96"/>
      <c r="N27" s="104">
        <v>0</v>
      </c>
      <c r="O27" s="104"/>
      <c r="P27" s="104">
        <f t="shared" si="4"/>
        <v>5200</v>
      </c>
      <c r="Q27" s="204"/>
      <c r="R27" s="42" t="s">
        <v>276</v>
      </c>
    </row>
    <row r="28" spans="1:18" s="56" customFormat="1" ht="151.5" customHeight="1">
      <c r="A28" s="205" t="s">
        <v>197</v>
      </c>
      <c r="B28" s="206" t="s">
        <v>304</v>
      </c>
      <c r="C28" s="98" t="s">
        <v>56</v>
      </c>
      <c r="D28" s="92" t="s">
        <v>74</v>
      </c>
      <c r="E28" s="93" t="s">
        <v>27</v>
      </c>
      <c r="F28" s="196" t="s">
        <v>77</v>
      </c>
      <c r="G28" s="197">
        <v>1</v>
      </c>
      <c r="H28" s="86" t="s">
        <v>305</v>
      </c>
      <c r="I28" s="93" t="s">
        <v>28</v>
      </c>
      <c r="J28" s="104"/>
      <c r="K28" s="104"/>
      <c r="L28" s="81"/>
      <c r="M28" s="96">
        <f>2100+480200</f>
        <v>482300</v>
      </c>
      <c r="N28" s="104"/>
      <c r="O28" s="104"/>
      <c r="P28" s="104">
        <f t="shared" si="4"/>
        <v>482300</v>
      </c>
      <c r="Q28" s="204"/>
      <c r="R28" s="42"/>
    </row>
    <row r="29" spans="1:18" s="23" customFormat="1" ht="131.25" customHeight="1">
      <c r="A29" s="205" t="s">
        <v>231</v>
      </c>
      <c r="B29" s="206" t="s">
        <v>172</v>
      </c>
      <c r="C29" s="98" t="s">
        <v>56</v>
      </c>
      <c r="D29" s="92" t="s">
        <v>74</v>
      </c>
      <c r="E29" s="93" t="s">
        <v>27</v>
      </c>
      <c r="F29" s="94" t="s">
        <v>77</v>
      </c>
      <c r="G29" s="95">
        <v>1</v>
      </c>
      <c r="H29" s="114" t="s">
        <v>255</v>
      </c>
      <c r="I29" s="93" t="s">
        <v>79</v>
      </c>
      <c r="J29" s="104">
        <v>4112.6400000000003</v>
      </c>
      <c r="K29" s="104"/>
      <c r="L29" s="81"/>
      <c r="M29" s="96"/>
      <c r="N29" s="104"/>
      <c r="O29" s="104"/>
      <c r="P29" s="104">
        <f t="shared" si="4"/>
        <v>4112.6400000000003</v>
      </c>
      <c r="Q29" s="204"/>
    </row>
    <row r="30" spans="1:18" s="45" customFormat="1" ht="131.25" customHeight="1">
      <c r="A30" s="356" t="s">
        <v>279</v>
      </c>
      <c r="B30" s="206" t="s">
        <v>172</v>
      </c>
      <c r="C30" s="98" t="s">
        <v>56</v>
      </c>
      <c r="D30" s="92" t="s">
        <v>74</v>
      </c>
      <c r="E30" s="93" t="s">
        <v>27</v>
      </c>
      <c r="F30" s="94" t="s">
        <v>77</v>
      </c>
      <c r="G30" s="95">
        <v>1</v>
      </c>
      <c r="H30" s="114" t="s">
        <v>255</v>
      </c>
      <c r="I30" s="207" t="s">
        <v>278</v>
      </c>
      <c r="J30" s="104">
        <v>1242.02</v>
      </c>
      <c r="K30" s="104"/>
      <c r="L30" s="81"/>
      <c r="M30" s="96"/>
      <c r="N30" s="104"/>
      <c r="O30" s="104"/>
      <c r="P30" s="104">
        <f t="shared" ref="P30" si="5">J30+K30+L30+M30+N30</f>
        <v>1242.02</v>
      </c>
      <c r="Q30" s="204"/>
    </row>
    <row r="31" spans="1:18" s="32" customFormat="1" ht="128.25" customHeight="1">
      <c r="A31" s="336" t="s">
        <v>297</v>
      </c>
      <c r="B31" s="337" t="s">
        <v>199</v>
      </c>
      <c r="C31" s="98" t="s">
        <v>56</v>
      </c>
      <c r="D31" s="92" t="s">
        <v>74</v>
      </c>
      <c r="E31" s="93" t="s">
        <v>27</v>
      </c>
      <c r="F31" s="94" t="s">
        <v>77</v>
      </c>
      <c r="G31" s="95">
        <v>1</v>
      </c>
      <c r="H31" s="208" t="s">
        <v>256</v>
      </c>
      <c r="I31" s="93" t="s">
        <v>28</v>
      </c>
      <c r="J31" s="104"/>
      <c r="K31" s="104">
        <v>3300</v>
      </c>
      <c r="L31" s="81">
        <v>250</v>
      </c>
      <c r="M31" s="96"/>
      <c r="N31" s="104">
        <v>260</v>
      </c>
      <c r="O31" s="104">
        <v>260</v>
      </c>
      <c r="P31" s="104">
        <f>J31+K31+L31+M31+N31+O31</f>
        <v>4070</v>
      </c>
      <c r="Q31" s="204"/>
    </row>
    <row r="32" spans="1:18" s="36" customFormat="1" ht="91.5" customHeight="1">
      <c r="A32" s="356" t="s">
        <v>298</v>
      </c>
      <c r="B32" s="117" t="s">
        <v>232</v>
      </c>
      <c r="C32" s="98" t="s">
        <v>56</v>
      </c>
      <c r="D32" s="92" t="s">
        <v>74</v>
      </c>
      <c r="E32" s="93" t="s">
        <v>27</v>
      </c>
      <c r="F32" s="94" t="s">
        <v>77</v>
      </c>
      <c r="G32" s="95">
        <v>1</v>
      </c>
      <c r="H32" s="114" t="s">
        <v>257</v>
      </c>
      <c r="I32" s="93" t="s">
        <v>28</v>
      </c>
      <c r="J32" s="104"/>
      <c r="K32" s="104">
        <v>116125</v>
      </c>
      <c r="L32" s="81"/>
      <c r="M32" s="96"/>
      <c r="N32" s="104"/>
      <c r="O32" s="104"/>
      <c r="P32" s="104">
        <f t="shared" si="4"/>
        <v>116125</v>
      </c>
      <c r="Q32" s="204"/>
    </row>
    <row r="33" spans="1:18" s="39" customFormat="1" ht="144" customHeight="1">
      <c r="A33" s="356" t="s">
        <v>306</v>
      </c>
      <c r="B33" s="117" t="s">
        <v>241</v>
      </c>
      <c r="C33" s="98" t="s">
        <v>56</v>
      </c>
      <c r="D33" s="92" t="s">
        <v>74</v>
      </c>
      <c r="E33" s="93" t="s">
        <v>27</v>
      </c>
      <c r="F33" s="94" t="s">
        <v>77</v>
      </c>
      <c r="G33" s="95">
        <v>1</v>
      </c>
      <c r="H33" s="114" t="s">
        <v>258</v>
      </c>
      <c r="I33" s="93" t="s">
        <v>28</v>
      </c>
      <c r="J33" s="104"/>
      <c r="K33" s="104">
        <v>200000</v>
      </c>
      <c r="L33" s="81"/>
      <c r="M33" s="96"/>
      <c r="N33" s="104"/>
      <c r="O33" s="104"/>
      <c r="P33" s="104">
        <f t="shared" si="4"/>
        <v>200000</v>
      </c>
      <c r="Q33" s="204"/>
    </row>
    <row r="34" spans="1:18" s="56" customFormat="1" ht="145.5" customHeight="1">
      <c r="A34" s="521" t="s">
        <v>309</v>
      </c>
      <c r="B34" s="574" t="s">
        <v>308</v>
      </c>
      <c r="C34" s="519" t="s">
        <v>56</v>
      </c>
      <c r="D34" s="92" t="s">
        <v>74</v>
      </c>
      <c r="E34" s="93" t="s">
        <v>27</v>
      </c>
      <c r="F34" s="94" t="s">
        <v>77</v>
      </c>
      <c r="G34" s="95">
        <v>1</v>
      </c>
      <c r="H34" s="114" t="s">
        <v>310</v>
      </c>
      <c r="I34" s="93" t="s">
        <v>79</v>
      </c>
      <c r="J34" s="104"/>
      <c r="K34" s="104"/>
      <c r="L34" s="81"/>
      <c r="M34" s="96">
        <f>268817.2</f>
        <v>268817.2</v>
      </c>
      <c r="N34" s="104"/>
      <c r="O34" s="104"/>
      <c r="P34" s="104">
        <f t="shared" si="4"/>
        <v>268817.2</v>
      </c>
      <c r="Q34" s="204"/>
    </row>
    <row r="35" spans="1:18" s="56" customFormat="1" ht="67.5" customHeight="1">
      <c r="A35" s="522"/>
      <c r="B35" s="575"/>
      <c r="C35" s="520"/>
      <c r="D35" s="92" t="s">
        <v>74</v>
      </c>
      <c r="E35" s="93" t="s">
        <v>27</v>
      </c>
      <c r="F35" s="94" t="s">
        <v>77</v>
      </c>
      <c r="G35" s="95">
        <v>1</v>
      </c>
      <c r="H35" s="114" t="s">
        <v>310</v>
      </c>
      <c r="I35" s="93" t="s">
        <v>278</v>
      </c>
      <c r="J35" s="104"/>
      <c r="K35" s="104"/>
      <c r="L35" s="81"/>
      <c r="M35" s="96">
        <v>81182.8</v>
      </c>
      <c r="N35" s="104"/>
      <c r="O35" s="104"/>
      <c r="P35" s="104">
        <f t="shared" si="4"/>
        <v>81182.8</v>
      </c>
      <c r="Q35" s="204"/>
    </row>
    <row r="36" spans="1:18" s="56" customFormat="1" ht="174" customHeight="1">
      <c r="A36" s="367" t="s">
        <v>313</v>
      </c>
      <c r="B36" s="368" t="s">
        <v>352</v>
      </c>
      <c r="C36" s="366" t="s">
        <v>56</v>
      </c>
      <c r="D36" s="92" t="s">
        <v>74</v>
      </c>
      <c r="E36" s="93" t="s">
        <v>27</v>
      </c>
      <c r="F36" s="94" t="s">
        <v>77</v>
      </c>
      <c r="G36" s="95">
        <v>1</v>
      </c>
      <c r="H36" s="114" t="s">
        <v>314</v>
      </c>
      <c r="I36" s="93" t="s">
        <v>28</v>
      </c>
      <c r="J36" s="104"/>
      <c r="K36" s="104"/>
      <c r="L36" s="81"/>
      <c r="M36" s="96">
        <f>14001+9800</f>
        <v>23801</v>
      </c>
      <c r="N36" s="104"/>
      <c r="O36" s="104"/>
      <c r="P36" s="104">
        <f t="shared" si="4"/>
        <v>23801</v>
      </c>
      <c r="Q36" s="204"/>
    </row>
    <row r="37" spans="1:18" ht="31.5" customHeight="1">
      <c r="A37" s="209"/>
      <c r="B37" s="210" t="s">
        <v>15</v>
      </c>
      <c r="C37" s="211"/>
      <c r="D37" s="210"/>
      <c r="E37" s="210"/>
      <c r="F37" s="212"/>
      <c r="G37" s="213"/>
      <c r="H37" s="214"/>
      <c r="I37" s="210"/>
      <c r="J37" s="215">
        <f>SUM(J9:J30)</f>
        <v>7761783.0264199991</v>
      </c>
      <c r="K37" s="215">
        <f>SUM(K9:K33)</f>
        <v>8209693.25</v>
      </c>
      <c r="L37" s="215">
        <f>SUM(L9:L33)</f>
        <v>8063105.1600000011</v>
      </c>
      <c r="M37" s="96">
        <f>SUM(M9:M36)</f>
        <v>9886282.7799999993</v>
      </c>
      <c r="N37" s="215">
        <f>SUM(N9:N33)</f>
        <v>7847955.8200000003</v>
      </c>
      <c r="O37" s="215">
        <f>SUM(O9:O33)</f>
        <v>7847955.8200000003</v>
      </c>
      <c r="P37" s="215">
        <f>J37+K37+L37+M37+N37+O37</f>
        <v>49616775.856420003</v>
      </c>
      <c r="Q37" s="211"/>
      <c r="R37" s="8"/>
    </row>
    <row r="38" spans="1:18" ht="32.25" customHeight="1">
      <c r="A38" s="192" t="s">
        <v>16</v>
      </c>
      <c r="B38" s="565" t="s">
        <v>71</v>
      </c>
      <c r="C38" s="566"/>
      <c r="D38" s="566"/>
      <c r="E38" s="566"/>
      <c r="F38" s="566"/>
      <c r="G38" s="566"/>
      <c r="H38" s="566"/>
      <c r="I38" s="566"/>
      <c r="J38" s="566"/>
      <c r="K38" s="566"/>
      <c r="L38" s="566"/>
      <c r="M38" s="566"/>
      <c r="N38" s="566"/>
      <c r="O38" s="566"/>
      <c r="P38" s="567"/>
      <c r="Q38" s="216"/>
    </row>
    <row r="39" spans="1:18" ht="171" customHeight="1">
      <c r="A39" s="202" t="s">
        <v>17</v>
      </c>
      <c r="B39" s="326" t="s">
        <v>122</v>
      </c>
      <c r="C39" s="98" t="s">
        <v>56</v>
      </c>
      <c r="D39" s="319" t="s">
        <v>74</v>
      </c>
      <c r="E39" s="319" t="s">
        <v>27</v>
      </c>
      <c r="F39" s="158" t="s">
        <v>77</v>
      </c>
      <c r="G39" s="317">
        <v>1</v>
      </c>
      <c r="H39" s="79" t="s">
        <v>244</v>
      </c>
      <c r="I39" s="319" t="s">
        <v>78</v>
      </c>
      <c r="J39" s="104">
        <f>2089586.88+21000-109173.01+61290+46791.28</f>
        <v>2109495.15</v>
      </c>
      <c r="K39" s="104">
        <f>2190463.8-317.56-22486.6-165.41</f>
        <v>2167494.2299999995</v>
      </c>
      <c r="L39" s="81">
        <v>2282088.83</v>
      </c>
      <c r="M39" s="96">
        <f>2638085.84-96927.39</f>
        <v>2541158.4499999997</v>
      </c>
      <c r="N39" s="104">
        <f>M39+96927.39</f>
        <v>2638085.84</v>
      </c>
      <c r="O39" s="104">
        <v>2638085.84</v>
      </c>
      <c r="P39" s="104">
        <f>J39+K39+L39+M39+N39+O39</f>
        <v>14376408.339999998</v>
      </c>
      <c r="Q39" s="326" t="s">
        <v>81</v>
      </c>
    </row>
    <row r="40" spans="1:18" ht="134.25" customHeight="1">
      <c r="A40" s="338"/>
      <c r="B40" s="339" t="s">
        <v>138</v>
      </c>
      <c r="C40" s="340" t="s">
        <v>56</v>
      </c>
      <c r="D40" s="341" t="s">
        <v>74</v>
      </c>
      <c r="E40" s="341" t="s">
        <v>27</v>
      </c>
      <c r="F40" s="342" t="s">
        <v>77</v>
      </c>
      <c r="G40" s="343">
        <v>1</v>
      </c>
      <c r="H40" s="341" t="s">
        <v>252</v>
      </c>
      <c r="I40" s="341" t="s">
        <v>78</v>
      </c>
      <c r="J40" s="344">
        <f>108081.28-46791.28+9459.03</f>
        <v>70749.03</v>
      </c>
      <c r="K40" s="345">
        <f>31710.43+31755.55+42891.99</f>
        <v>106357.97</v>
      </c>
      <c r="L40" s="81">
        <v>14532.72</v>
      </c>
      <c r="M40" s="346">
        <f>10635.13+3781.06</f>
        <v>14416.189999999999</v>
      </c>
      <c r="N40" s="344"/>
      <c r="O40" s="344"/>
      <c r="P40" s="344">
        <f t="shared" ref="P40:P45" si="6">J40+K40+L40+M40+N40</f>
        <v>206055.91</v>
      </c>
      <c r="Q40" s="328"/>
    </row>
    <row r="41" spans="1:18" ht="163.5" customHeight="1">
      <c r="A41" s="205"/>
      <c r="B41" s="326" t="s">
        <v>139</v>
      </c>
      <c r="C41" s="195" t="s">
        <v>56</v>
      </c>
      <c r="D41" s="100" t="s">
        <v>74</v>
      </c>
      <c r="E41" s="100" t="s">
        <v>27</v>
      </c>
      <c r="F41" s="101" t="s">
        <v>77</v>
      </c>
      <c r="G41" s="102">
        <v>1</v>
      </c>
      <c r="H41" s="100" t="s">
        <v>253</v>
      </c>
      <c r="I41" s="100" t="s">
        <v>78</v>
      </c>
      <c r="J41" s="104">
        <v>1091.73</v>
      </c>
      <c r="K41" s="104">
        <f>591.35+317.56+165.41</f>
        <v>1074.3200000000002</v>
      </c>
      <c r="L41" s="81">
        <v>156.94</v>
      </c>
      <c r="M41" s="96"/>
      <c r="N41" s="104"/>
      <c r="O41" s="104"/>
      <c r="P41" s="104">
        <f t="shared" si="6"/>
        <v>2322.9900000000002</v>
      </c>
      <c r="Q41" s="339"/>
    </row>
    <row r="42" spans="1:18" ht="81.75" customHeight="1">
      <c r="A42" s="103" t="s">
        <v>72</v>
      </c>
      <c r="B42" s="125" t="s">
        <v>129</v>
      </c>
      <c r="C42" s="98" t="s">
        <v>56</v>
      </c>
      <c r="D42" s="103" t="s">
        <v>74</v>
      </c>
      <c r="E42" s="103" t="s">
        <v>27</v>
      </c>
      <c r="F42" s="158" t="s">
        <v>77</v>
      </c>
      <c r="G42" s="159">
        <v>1</v>
      </c>
      <c r="H42" s="79" t="s">
        <v>247</v>
      </c>
      <c r="I42" s="103" t="s">
        <v>80</v>
      </c>
      <c r="J42" s="104">
        <v>12000</v>
      </c>
      <c r="K42" s="104">
        <v>0</v>
      </c>
      <c r="L42" s="81">
        <v>0</v>
      </c>
      <c r="M42" s="96"/>
      <c r="N42" s="104"/>
      <c r="O42" s="104"/>
      <c r="P42" s="104">
        <f t="shared" si="6"/>
        <v>12000</v>
      </c>
      <c r="Q42" s="125" t="s">
        <v>130</v>
      </c>
    </row>
    <row r="43" spans="1:18" ht="162" customHeight="1">
      <c r="A43" s="103" t="s">
        <v>73</v>
      </c>
      <c r="B43" s="125" t="s">
        <v>172</v>
      </c>
      <c r="C43" s="98" t="s">
        <v>56</v>
      </c>
      <c r="D43" s="103" t="s">
        <v>74</v>
      </c>
      <c r="E43" s="103" t="s">
        <v>27</v>
      </c>
      <c r="F43" s="158" t="s">
        <v>77</v>
      </c>
      <c r="G43" s="159">
        <v>1</v>
      </c>
      <c r="H43" s="79" t="s">
        <v>255</v>
      </c>
      <c r="I43" s="103" t="s">
        <v>78</v>
      </c>
      <c r="J43" s="87">
        <v>2593.52</v>
      </c>
      <c r="K43" s="87"/>
      <c r="L43" s="81"/>
      <c r="M43" s="81"/>
      <c r="N43" s="87"/>
      <c r="O43" s="87"/>
      <c r="P43" s="104">
        <f t="shared" si="6"/>
        <v>2593.52</v>
      </c>
      <c r="Q43" s="125"/>
    </row>
    <row r="44" spans="1:18" s="56" customFormat="1" ht="169.5" customHeight="1">
      <c r="A44" s="358" t="s">
        <v>311</v>
      </c>
      <c r="B44" s="359" t="s">
        <v>308</v>
      </c>
      <c r="C44" s="98" t="s">
        <v>56</v>
      </c>
      <c r="D44" s="358" t="s">
        <v>74</v>
      </c>
      <c r="E44" s="358" t="s">
        <v>27</v>
      </c>
      <c r="F44" s="158" t="s">
        <v>77</v>
      </c>
      <c r="G44" s="357">
        <v>1</v>
      </c>
      <c r="H44" s="79" t="s">
        <v>310</v>
      </c>
      <c r="I44" s="358" t="s">
        <v>78</v>
      </c>
      <c r="J44" s="87"/>
      <c r="K44" s="87"/>
      <c r="L44" s="81"/>
      <c r="M44" s="81">
        <f>122000</f>
        <v>122000</v>
      </c>
      <c r="N44" s="87"/>
      <c r="O44" s="87"/>
      <c r="P44" s="104">
        <f t="shared" si="6"/>
        <v>122000</v>
      </c>
      <c r="Q44" s="359"/>
    </row>
    <row r="45" spans="1:18" s="56" customFormat="1" ht="183" customHeight="1">
      <c r="A45" s="397" t="s">
        <v>339</v>
      </c>
      <c r="B45" s="276" t="s">
        <v>341</v>
      </c>
      <c r="C45" s="98" t="s">
        <v>56</v>
      </c>
      <c r="D45" s="397" t="s">
        <v>74</v>
      </c>
      <c r="E45" s="397" t="s">
        <v>27</v>
      </c>
      <c r="F45" s="158" t="s">
        <v>77</v>
      </c>
      <c r="G45" s="396">
        <v>1</v>
      </c>
      <c r="H45" s="79" t="s">
        <v>338</v>
      </c>
      <c r="I45" s="397" t="s">
        <v>78</v>
      </c>
      <c r="J45" s="87"/>
      <c r="K45" s="87"/>
      <c r="L45" s="81"/>
      <c r="M45" s="81">
        <f>110051.74+93158.71+27470.32</f>
        <v>230680.77000000002</v>
      </c>
      <c r="N45" s="87"/>
      <c r="O45" s="87"/>
      <c r="P45" s="104">
        <f t="shared" si="6"/>
        <v>230680.77000000002</v>
      </c>
      <c r="Q45" s="399"/>
    </row>
    <row r="46" spans="1:18" ht="32.25" customHeight="1">
      <c r="A46" s="209"/>
      <c r="B46" s="210" t="s">
        <v>18</v>
      </c>
      <c r="C46" s="211"/>
      <c r="D46" s="210"/>
      <c r="E46" s="210"/>
      <c r="F46" s="212"/>
      <c r="G46" s="213"/>
      <c r="H46" s="214"/>
      <c r="I46" s="210"/>
      <c r="J46" s="215">
        <f t="shared" ref="J46:O46" si="7">SUM(J39:J43)</f>
        <v>2195929.4299999997</v>
      </c>
      <c r="K46" s="215">
        <f t="shared" si="7"/>
        <v>2274926.5199999996</v>
      </c>
      <c r="L46" s="215">
        <f t="shared" si="7"/>
        <v>2296778.4900000002</v>
      </c>
      <c r="M46" s="215">
        <f>SUM(M39:M45)</f>
        <v>2908255.4099999997</v>
      </c>
      <c r="N46" s="215">
        <f t="shared" si="7"/>
        <v>2638085.84</v>
      </c>
      <c r="O46" s="215">
        <f t="shared" si="7"/>
        <v>2638085.84</v>
      </c>
      <c r="P46" s="215">
        <f>SUM(P39:P45)</f>
        <v>14952061.529999997</v>
      </c>
      <c r="Q46" s="211"/>
      <c r="R46" s="8"/>
    </row>
    <row r="47" spans="1:18" ht="36" customHeight="1">
      <c r="A47" s="217"/>
      <c r="B47" s="218" t="s">
        <v>97</v>
      </c>
      <c r="C47" s="218"/>
      <c r="D47" s="218"/>
      <c r="E47" s="218"/>
      <c r="F47" s="219"/>
      <c r="G47" s="220"/>
      <c r="H47" s="221"/>
      <c r="I47" s="218"/>
      <c r="J47" s="222">
        <f t="shared" ref="J47:O47" si="8">J37+J46</f>
        <v>9957712.4564199988</v>
      </c>
      <c r="K47" s="222">
        <f t="shared" si="8"/>
        <v>10484619.77</v>
      </c>
      <c r="L47" s="222">
        <f t="shared" si="8"/>
        <v>10359883.650000002</v>
      </c>
      <c r="M47" s="222">
        <f t="shared" si="8"/>
        <v>12794538.189999999</v>
      </c>
      <c r="N47" s="222">
        <f t="shared" si="8"/>
        <v>10486041.66</v>
      </c>
      <c r="O47" s="222">
        <f t="shared" si="8"/>
        <v>10486041.66</v>
      </c>
      <c r="P47" s="222">
        <f>J47+K47+L47+M47+N47+O47</f>
        <v>64568837.386419997</v>
      </c>
      <c r="Q47" s="218"/>
      <c r="R47" s="8"/>
    </row>
    <row r="48" spans="1:18">
      <c r="A48" s="103"/>
      <c r="B48" s="125" t="s">
        <v>25</v>
      </c>
      <c r="C48" s="125"/>
      <c r="D48" s="125"/>
      <c r="E48" s="125"/>
      <c r="F48" s="158"/>
      <c r="G48" s="159"/>
      <c r="H48" s="223"/>
      <c r="I48" s="125"/>
      <c r="J48" s="104"/>
      <c r="K48" s="104"/>
      <c r="L48" s="104"/>
      <c r="M48" s="96"/>
      <c r="N48" s="104"/>
      <c r="O48" s="104"/>
      <c r="P48" s="222">
        <f t="shared" ref="P48:P49" si="9">J48+K48+L48+M48+N48</f>
        <v>0</v>
      </c>
      <c r="Q48" s="125"/>
    </row>
    <row r="49" spans="1:18" ht="20.25" customHeight="1">
      <c r="A49" s="103"/>
      <c r="B49" s="125" t="s">
        <v>168</v>
      </c>
      <c r="C49" s="125"/>
      <c r="D49" s="125"/>
      <c r="E49" s="125"/>
      <c r="F49" s="158"/>
      <c r="G49" s="159"/>
      <c r="H49" s="223"/>
      <c r="I49" s="125"/>
      <c r="J49" s="104"/>
      <c r="K49" s="104">
        <v>3000</v>
      </c>
      <c r="L49" s="104">
        <f>L27</f>
        <v>2200</v>
      </c>
      <c r="M49" s="96">
        <f>M28</f>
        <v>482300</v>
      </c>
      <c r="N49" s="104">
        <f t="shared" ref="N49" si="10">N27</f>
        <v>0</v>
      </c>
      <c r="O49" s="104"/>
      <c r="P49" s="222">
        <f t="shared" si="9"/>
        <v>487500</v>
      </c>
      <c r="Q49" s="125"/>
    </row>
    <row r="50" spans="1:18" ht="20.25" customHeight="1">
      <c r="A50" s="103"/>
      <c r="B50" s="126" t="s">
        <v>169</v>
      </c>
      <c r="C50" s="125"/>
      <c r="D50" s="125"/>
      <c r="E50" s="125"/>
      <c r="F50" s="158"/>
      <c r="G50" s="159"/>
      <c r="H50" s="223"/>
      <c r="I50" s="125"/>
      <c r="J50" s="104">
        <v>314531.21000000002</v>
      </c>
      <c r="K50" s="104">
        <f>K40+K15+K25+K16</f>
        <v>329979.43</v>
      </c>
      <c r="L50" s="104">
        <f>L25+L15+L16+L40+L19+L20</f>
        <v>121929.48000000001</v>
      </c>
      <c r="M50" s="96">
        <f>M25+M15+M16+M40+M19+M20+M26+M34+M35+M44+M45+M21+M22</f>
        <v>1995508.51</v>
      </c>
      <c r="N50" s="104">
        <f>N25+N15+N16+N40+N19+N20</f>
        <v>0</v>
      </c>
      <c r="O50" s="104">
        <f>O25+O15+O16+O40+O19+O20</f>
        <v>0</v>
      </c>
      <c r="P50" s="222">
        <f>J50+K50+L50+M50+N50</f>
        <v>2761948.63</v>
      </c>
      <c r="Q50" s="125"/>
    </row>
    <row r="51" spans="1:18" ht="23.25" customHeight="1">
      <c r="A51" s="103"/>
      <c r="B51" s="125" t="s">
        <v>170</v>
      </c>
      <c r="C51" s="125"/>
      <c r="D51" s="125"/>
      <c r="E51" s="125"/>
      <c r="F51" s="158"/>
      <c r="G51" s="159"/>
      <c r="H51" s="223"/>
      <c r="I51" s="125"/>
      <c r="J51" s="104">
        <f>J37+J46-J50</f>
        <v>9643181.2464199979</v>
      </c>
      <c r="K51" s="104">
        <f>K37+K46-K49-K50</f>
        <v>10151640.34</v>
      </c>
      <c r="L51" s="104">
        <f>L37+L46-L49-L50</f>
        <v>10235754.170000002</v>
      </c>
      <c r="M51" s="96">
        <f>M37+M46-M49-M50</f>
        <v>10316729.68</v>
      </c>
      <c r="N51" s="104">
        <f>N37+N46-N49-N50</f>
        <v>10486041.66</v>
      </c>
      <c r="O51" s="104">
        <f>O37+O46-O49-O50</f>
        <v>10486041.66</v>
      </c>
      <c r="P51" s="104">
        <f>SUM(J51:O51)</f>
        <v>61319388.756420001</v>
      </c>
      <c r="Q51" s="125"/>
      <c r="R51" s="8"/>
    </row>
    <row r="52" spans="1:18" ht="46.5" customHeight="1">
      <c r="A52" s="1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453"/>
      <c r="N52" s="2"/>
      <c r="O52" s="2"/>
      <c r="P52" s="2"/>
      <c r="Q52" s="2"/>
      <c r="R52" s="22"/>
    </row>
    <row r="53" spans="1:18">
      <c r="A53" s="13"/>
      <c r="B53" s="2"/>
      <c r="C53" s="2"/>
      <c r="D53" s="2"/>
      <c r="E53" s="2"/>
      <c r="F53" s="13"/>
      <c r="G53" s="14"/>
      <c r="H53" s="14"/>
      <c r="I53" s="2"/>
      <c r="J53" s="3"/>
      <c r="K53" s="3"/>
      <c r="L53" s="3"/>
      <c r="M53" s="454"/>
      <c r="N53" s="3"/>
      <c r="O53" s="3"/>
      <c r="P53" s="3"/>
      <c r="Q53" s="2"/>
      <c r="R53" s="8"/>
    </row>
    <row r="54" spans="1:18" s="11" customFormat="1" ht="35.25" customHeight="1">
      <c r="A54" s="561"/>
      <c r="B54" s="561"/>
      <c r="C54" s="561"/>
      <c r="D54" s="561"/>
      <c r="E54" s="561"/>
      <c r="F54" s="561"/>
      <c r="G54" s="561"/>
      <c r="H54" s="561"/>
      <c r="I54" s="561"/>
      <c r="J54" s="10"/>
      <c r="K54" s="10"/>
      <c r="L54" s="10"/>
      <c r="M54" s="455"/>
      <c r="N54" s="10"/>
      <c r="O54" s="10"/>
      <c r="P54" s="10"/>
    </row>
    <row r="57" spans="1:18">
      <c r="J57" s="8"/>
      <c r="K57" s="8"/>
      <c r="L57" s="8"/>
      <c r="M57" s="456"/>
      <c r="N57" s="8"/>
      <c r="O57" s="8"/>
      <c r="P57" s="8"/>
    </row>
    <row r="58" spans="1:18">
      <c r="J58" s="8"/>
      <c r="K58" s="8"/>
      <c r="L58" s="8"/>
      <c r="M58" s="456"/>
      <c r="N58" s="8"/>
      <c r="O58" s="8"/>
      <c r="P58" s="8"/>
      <c r="R58" s="8"/>
    </row>
  </sheetData>
  <mergeCells count="22">
    <mergeCell ref="A54:I54"/>
    <mergeCell ref="F6:H6"/>
    <mergeCell ref="B38:P38"/>
    <mergeCell ref="B7:P7"/>
    <mergeCell ref="B8:P8"/>
    <mergeCell ref="A5:A6"/>
    <mergeCell ref="B5:B6"/>
    <mergeCell ref="C5:C6"/>
    <mergeCell ref="D5:I5"/>
    <mergeCell ref="J5:P5"/>
    <mergeCell ref="B15:B16"/>
    <mergeCell ref="B34:B35"/>
    <mergeCell ref="C34:C35"/>
    <mergeCell ref="A34:A35"/>
    <mergeCell ref="P1:Q1"/>
    <mergeCell ref="P2:Q2"/>
    <mergeCell ref="A3:P3"/>
    <mergeCell ref="E2:G2"/>
    <mergeCell ref="A9:A17"/>
    <mergeCell ref="Q9:Q17"/>
    <mergeCell ref="B9:B14"/>
    <mergeCell ref="Q5:Q6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55" fitToHeight="17" orientation="landscape" r:id="rId1"/>
  <headerFooter alignWithMargins="0"/>
  <rowBreaks count="3" manualBreakCount="3">
    <brk id="22" max="14" man="1"/>
    <brk id="39" max="14" man="1"/>
    <brk id="52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T70"/>
  <sheetViews>
    <sheetView view="pageBreakPreview" zoomScale="58" zoomScaleSheetLayoutView="58" workbookViewId="0">
      <selection activeCell="M1" sqref="M1:Q1"/>
    </sheetView>
  </sheetViews>
  <sheetFormatPr defaultColWidth="9.140625" defaultRowHeight="15.75"/>
  <cols>
    <col min="1" max="1" width="7.7109375" style="12" customWidth="1"/>
    <col min="2" max="2" width="32" style="9" customWidth="1"/>
    <col min="3" max="3" width="16.140625" style="9" customWidth="1"/>
    <col min="4" max="5" width="9.140625" style="9"/>
    <col min="6" max="6" width="4.5703125" style="9" customWidth="1"/>
    <col min="7" max="7" width="2.42578125" style="9" customWidth="1"/>
    <col min="8" max="8" width="11.5703125" style="9" customWidth="1"/>
    <col min="9" max="9" width="11.42578125" style="9" customWidth="1"/>
    <col min="10" max="10" width="19.7109375" style="9" customWidth="1"/>
    <col min="11" max="11" width="20.42578125" style="9" customWidth="1"/>
    <col min="12" max="12" width="21.85546875" style="9" customWidth="1"/>
    <col min="13" max="13" width="19.140625" style="441" customWidth="1"/>
    <col min="14" max="14" width="20.7109375" style="40" customWidth="1"/>
    <col min="15" max="15" width="21.42578125" style="56" customWidth="1"/>
    <col min="16" max="16" width="20.85546875" style="9" customWidth="1"/>
    <col min="17" max="17" width="26.28515625" style="9" customWidth="1"/>
    <col min="18" max="18" width="55.42578125" style="9" customWidth="1"/>
    <col min="19" max="16384" width="9.140625" style="9"/>
  </cols>
  <sheetData>
    <row r="1" spans="1:19" s="26" customFormat="1" ht="60" customHeight="1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3" t="s">
        <v>357</v>
      </c>
      <c r="N1" s="593"/>
      <c r="O1" s="593"/>
      <c r="P1" s="593"/>
      <c r="Q1" s="593"/>
    </row>
    <row r="2" spans="1:19" ht="96.75" customHeight="1">
      <c r="A2" s="224"/>
      <c r="B2" s="225"/>
      <c r="C2" s="225"/>
      <c r="D2" s="225"/>
      <c r="E2" s="59"/>
      <c r="F2" s="59"/>
      <c r="G2" s="59"/>
      <c r="H2" s="225"/>
      <c r="I2" s="225"/>
      <c r="J2" s="225"/>
      <c r="K2" s="225"/>
      <c r="L2" s="226"/>
      <c r="M2" s="594" t="s">
        <v>295</v>
      </c>
      <c r="N2" s="594"/>
      <c r="O2" s="594"/>
      <c r="P2" s="595"/>
      <c r="Q2" s="595"/>
      <c r="R2" s="1"/>
    </row>
    <row r="3" spans="1:19" ht="39" customHeight="1">
      <c r="A3" s="596" t="s">
        <v>227</v>
      </c>
      <c r="B3" s="596"/>
      <c r="C3" s="596"/>
      <c r="D3" s="596"/>
      <c r="E3" s="596"/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</row>
    <row r="4" spans="1:19">
      <c r="A4" s="58"/>
      <c r="B4" s="59"/>
      <c r="C4" s="59"/>
      <c r="D4" s="59"/>
      <c r="E4" s="62"/>
      <c r="F4" s="63" t="s">
        <v>29</v>
      </c>
      <c r="G4" s="62">
        <v>4</v>
      </c>
      <c r="H4" s="62"/>
      <c r="I4" s="59"/>
      <c r="J4" s="305"/>
      <c r="K4" s="305"/>
      <c r="L4" s="305"/>
      <c r="M4" s="434"/>
      <c r="N4" s="305"/>
      <c r="O4" s="305"/>
      <c r="P4" s="305"/>
      <c r="Q4" s="59"/>
    </row>
    <row r="5" spans="1:19" ht="18" customHeight="1">
      <c r="A5" s="518" t="s">
        <v>3</v>
      </c>
      <c r="B5" s="519" t="s">
        <v>282</v>
      </c>
      <c r="C5" s="517" t="s">
        <v>229</v>
      </c>
      <c r="D5" s="517" t="s">
        <v>4</v>
      </c>
      <c r="E5" s="517"/>
      <c r="F5" s="517"/>
      <c r="G5" s="517"/>
      <c r="H5" s="517"/>
      <c r="I5" s="517"/>
      <c r="J5" s="562" t="s">
        <v>224</v>
      </c>
      <c r="K5" s="563"/>
      <c r="L5" s="563"/>
      <c r="M5" s="563"/>
      <c r="N5" s="563"/>
      <c r="O5" s="563"/>
      <c r="P5" s="564"/>
      <c r="Q5" s="517" t="s">
        <v>5</v>
      </c>
    </row>
    <row r="6" spans="1:19" ht="83.25" customHeight="1">
      <c r="A6" s="518"/>
      <c r="B6" s="520"/>
      <c r="C6" s="517"/>
      <c r="D6" s="64" t="s">
        <v>6</v>
      </c>
      <c r="E6" s="64" t="s">
        <v>7</v>
      </c>
      <c r="F6" s="513" t="s">
        <v>8</v>
      </c>
      <c r="G6" s="514"/>
      <c r="H6" s="515"/>
      <c r="I6" s="64" t="s">
        <v>9</v>
      </c>
      <c r="J6" s="306" t="s">
        <v>10</v>
      </c>
      <c r="K6" s="306" t="s">
        <v>11</v>
      </c>
      <c r="L6" s="306" t="s">
        <v>12</v>
      </c>
      <c r="M6" s="435" t="s">
        <v>159</v>
      </c>
      <c r="N6" s="306" t="s">
        <v>242</v>
      </c>
      <c r="O6" s="306" t="s">
        <v>290</v>
      </c>
      <c r="P6" s="306" t="s">
        <v>292</v>
      </c>
      <c r="Q6" s="517"/>
    </row>
    <row r="7" spans="1:19">
      <c r="A7" s="103"/>
      <c r="B7" s="568" t="s">
        <v>221</v>
      </c>
      <c r="C7" s="569"/>
      <c r="D7" s="569"/>
      <c r="E7" s="569"/>
      <c r="F7" s="569"/>
      <c r="G7" s="569"/>
      <c r="H7" s="569"/>
      <c r="I7" s="569"/>
      <c r="J7" s="569"/>
      <c r="K7" s="569"/>
      <c r="L7" s="569"/>
      <c r="M7" s="569"/>
      <c r="N7" s="569"/>
      <c r="O7" s="569"/>
      <c r="P7" s="570"/>
      <c r="Q7" s="64"/>
    </row>
    <row r="8" spans="1:19" ht="29.25" customHeight="1">
      <c r="A8" s="192" t="s">
        <v>13</v>
      </c>
      <c r="B8" s="565" t="s">
        <v>55</v>
      </c>
      <c r="C8" s="566"/>
      <c r="D8" s="566"/>
      <c r="E8" s="566"/>
      <c r="F8" s="566"/>
      <c r="G8" s="566"/>
      <c r="H8" s="566"/>
      <c r="I8" s="566"/>
      <c r="J8" s="566"/>
      <c r="K8" s="566"/>
      <c r="L8" s="566"/>
      <c r="M8" s="566"/>
      <c r="N8" s="566"/>
      <c r="O8" s="566"/>
      <c r="P8" s="567"/>
      <c r="Q8" s="193"/>
    </row>
    <row r="9" spans="1:19" ht="83.25" customHeight="1">
      <c r="A9" s="521" t="s">
        <v>30</v>
      </c>
      <c r="B9" s="326" t="s">
        <v>112</v>
      </c>
      <c r="C9" s="326" t="s">
        <v>56</v>
      </c>
      <c r="D9" s="319" t="s">
        <v>74</v>
      </c>
      <c r="E9" s="319" t="s">
        <v>27</v>
      </c>
      <c r="F9" s="158" t="s">
        <v>77</v>
      </c>
      <c r="G9" s="317">
        <v>2</v>
      </c>
      <c r="H9" s="79" t="s">
        <v>244</v>
      </c>
      <c r="I9" s="319" t="s">
        <v>78</v>
      </c>
      <c r="J9" s="81">
        <f>24664296.64-816087.14-125691.96+75619+512753.06+295173.21</f>
        <v>24606062.809999999</v>
      </c>
      <c r="K9" s="96">
        <f>25936164.08+290489.08+3607.73-3357.02-275006.02-1138.65</f>
        <v>25950759.199999999</v>
      </c>
      <c r="L9" s="81">
        <v>27293234.120000001</v>
      </c>
      <c r="M9" s="96">
        <f>27438036.94-2502.83-717262.69-1522.7</f>
        <v>26716748.720000003</v>
      </c>
      <c r="N9" s="96">
        <f>M9+2502.83+717262.69+1522.7</f>
        <v>27438036.940000001</v>
      </c>
      <c r="O9" s="96">
        <f>N9</f>
        <v>27438036.940000001</v>
      </c>
      <c r="P9" s="96">
        <f>SUM(J9:O9)</f>
        <v>159442878.72999999</v>
      </c>
      <c r="Q9" s="227" t="s">
        <v>176</v>
      </c>
      <c r="R9" s="28" t="s">
        <v>180</v>
      </c>
      <c r="S9" s="29" t="s">
        <v>183</v>
      </c>
    </row>
    <row r="10" spans="1:19" ht="133.5" customHeight="1">
      <c r="A10" s="576"/>
      <c r="B10" s="326" t="s">
        <v>138</v>
      </c>
      <c r="C10" s="326" t="s">
        <v>56</v>
      </c>
      <c r="D10" s="319" t="s">
        <v>74</v>
      </c>
      <c r="E10" s="319" t="s">
        <v>27</v>
      </c>
      <c r="F10" s="158" t="s">
        <v>77</v>
      </c>
      <c r="G10" s="177" t="s">
        <v>16</v>
      </c>
      <c r="H10" s="79" t="s">
        <v>252</v>
      </c>
      <c r="I10" s="319" t="s">
        <v>78</v>
      </c>
      <c r="J10" s="81">
        <f>572887.62</f>
        <v>572887.62</v>
      </c>
      <c r="K10" s="81">
        <f>330694.5+335701.48+216301.39</f>
        <v>882697.37</v>
      </c>
      <c r="L10" s="81">
        <v>184852.22</v>
      </c>
      <c r="M10" s="96">
        <f>167644.95+95720.68</f>
        <v>263365.63</v>
      </c>
      <c r="N10" s="96"/>
      <c r="O10" s="96"/>
      <c r="P10" s="96">
        <f t="shared" ref="P10:P15" si="0">SUM(J10:N10)</f>
        <v>1903802.8399999999</v>
      </c>
      <c r="Q10" s="581"/>
    </row>
    <row r="11" spans="1:19" ht="141.75" customHeight="1">
      <c r="A11" s="576"/>
      <c r="B11" s="326" t="s">
        <v>139</v>
      </c>
      <c r="C11" s="326" t="s">
        <v>56</v>
      </c>
      <c r="D11" s="319" t="s">
        <v>74</v>
      </c>
      <c r="E11" s="79" t="s">
        <v>27</v>
      </c>
      <c r="F11" s="177" t="s">
        <v>77</v>
      </c>
      <c r="G11" s="177" t="s">
        <v>16</v>
      </c>
      <c r="H11" s="79" t="s">
        <v>253</v>
      </c>
      <c r="I11" s="79" t="s">
        <v>78</v>
      </c>
      <c r="J11" s="87">
        <f>8160.87</f>
        <v>8160.87</v>
      </c>
      <c r="K11" s="104">
        <f>4420.47+3357.02+1138.65</f>
        <v>8916.14</v>
      </c>
      <c r="L11" s="81">
        <v>1989.78</v>
      </c>
      <c r="M11" s="96">
        <f>2502.83+1522.7</f>
        <v>4025.5299999999997</v>
      </c>
      <c r="N11" s="104"/>
      <c r="O11" s="104"/>
      <c r="P11" s="96">
        <f t="shared" si="0"/>
        <v>23092.319999999996</v>
      </c>
      <c r="Q11" s="581"/>
      <c r="R11" s="9" t="s">
        <v>0</v>
      </c>
    </row>
    <row r="12" spans="1:19" ht="69" customHeight="1">
      <c r="A12" s="576"/>
      <c r="B12" s="326" t="s">
        <v>140</v>
      </c>
      <c r="C12" s="326" t="s">
        <v>56</v>
      </c>
      <c r="D12" s="319" t="s">
        <v>74</v>
      </c>
      <c r="E12" s="79" t="s">
        <v>27</v>
      </c>
      <c r="F12" s="177" t="s">
        <v>77</v>
      </c>
      <c r="G12" s="177" t="s">
        <v>16</v>
      </c>
      <c r="H12" s="79" t="s">
        <v>259</v>
      </c>
      <c r="I12" s="79" t="s">
        <v>78</v>
      </c>
      <c r="J12" s="87">
        <f>125691.96+125691.96+92180</f>
        <v>343563.92000000004</v>
      </c>
      <c r="K12" s="104">
        <f>254815.6+73538</f>
        <v>328353.59999999998</v>
      </c>
      <c r="L12" s="81">
        <v>295385.7</v>
      </c>
      <c r="M12" s="96">
        <f>228070.41+165883.04</f>
        <v>393953.45</v>
      </c>
      <c r="N12" s="104"/>
      <c r="O12" s="104"/>
      <c r="P12" s="96">
        <f t="shared" si="0"/>
        <v>1361256.67</v>
      </c>
      <c r="Q12" s="581"/>
      <c r="R12" s="9" t="s">
        <v>189</v>
      </c>
    </row>
    <row r="13" spans="1:19" s="56" customFormat="1" ht="162.75" customHeight="1">
      <c r="A13" s="576"/>
      <c r="B13" s="276" t="s">
        <v>341</v>
      </c>
      <c r="C13" s="399" t="s">
        <v>56</v>
      </c>
      <c r="D13" s="397" t="s">
        <v>74</v>
      </c>
      <c r="E13" s="79" t="s">
        <v>27</v>
      </c>
      <c r="F13" s="177" t="s">
        <v>77</v>
      </c>
      <c r="G13" s="177" t="s">
        <v>16</v>
      </c>
      <c r="H13" s="79" t="s">
        <v>338</v>
      </c>
      <c r="I13" s="79" t="s">
        <v>78</v>
      </c>
      <c r="J13" s="87"/>
      <c r="K13" s="104"/>
      <c r="L13" s="81"/>
      <c r="M13" s="96">
        <f>814391.98+443361.62+869481.29+256389.68</f>
        <v>2383624.5700000003</v>
      </c>
      <c r="N13" s="104"/>
      <c r="O13" s="104"/>
      <c r="P13" s="96">
        <f t="shared" si="0"/>
        <v>2383624.5700000003</v>
      </c>
      <c r="Q13" s="402"/>
    </row>
    <row r="14" spans="1:19" ht="78.75" customHeight="1">
      <c r="A14" s="576"/>
      <c r="B14" s="326" t="s">
        <v>113</v>
      </c>
      <c r="C14" s="326" t="s">
        <v>56</v>
      </c>
      <c r="D14" s="92" t="s">
        <v>74</v>
      </c>
      <c r="E14" s="93" t="s">
        <v>27</v>
      </c>
      <c r="F14" s="94" t="s">
        <v>77</v>
      </c>
      <c r="G14" s="94" t="s">
        <v>16</v>
      </c>
      <c r="H14" s="93" t="s">
        <v>247</v>
      </c>
      <c r="I14" s="93" t="s">
        <v>80</v>
      </c>
      <c r="J14" s="87">
        <f>200000+300000+15000</f>
        <v>515000</v>
      </c>
      <c r="K14" s="104">
        <v>0</v>
      </c>
      <c r="L14" s="81">
        <v>0</v>
      </c>
      <c r="M14" s="96"/>
      <c r="N14" s="104"/>
      <c r="O14" s="104"/>
      <c r="P14" s="96">
        <f t="shared" si="0"/>
        <v>515000</v>
      </c>
      <c r="Q14" s="228"/>
      <c r="R14" s="9" t="s">
        <v>0</v>
      </c>
    </row>
    <row r="15" spans="1:19" ht="159" customHeight="1">
      <c r="A15" s="522"/>
      <c r="B15" s="326" t="s">
        <v>123</v>
      </c>
      <c r="C15" s="326" t="s">
        <v>56</v>
      </c>
      <c r="D15" s="92" t="s">
        <v>74</v>
      </c>
      <c r="E15" s="93" t="s">
        <v>27</v>
      </c>
      <c r="F15" s="94" t="s">
        <v>77</v>
      </c>
      <c r="G15" s="94" t="s">
        <v>16</v>
      </c>
      <c r="H15" s="93" t="s">
        <v>260</v>
      </c>
      <c r="I15" s="93" t="s">
        <v>80</v>
      </c>
      <c r="J15" s="87">
        <v>0</v>
      </c>
      <c r="K15" s="104"/>
      <c r="L15" s="81">
        <v>0</v>
      </c>
      <c r="M15" s="96"/>
      <c r="N15" s="104"/>
      <c r="O15" s="104"/>
      <c r="P15" s="96">
        <f t="shared" si="0"/>
        <v>0</v>
      </c>
      <c r="Q15" s="330"/>
    </row>
    <row r="16" spans="1:19" ht="88.5" customHeight="1">
      <c r="A16" s="521" t="s">
        <v>14</v>
      </c>
      <c r="B16" s="125" t="s">
        <v>111</v>
      </c>
      <c r="C16" s="125" t="s">
        <v>56</v>
      </c>
      <c r="D16" s="103" t="s">
        <v>74</v>
      </c>
      <c r="E16" s="103" t="s">
        <v>27</v>
      </c>
      <c r="F16" s="158" t="s">
        <v>77</v>
      </c>
      <c r="G16" s="177" t="s">
        <v>16</v>
      </c>
      <c r="H16" s="79" t="s">
        <v>244</v>
      </c>
      <c r="I16" s="103" t="s">
        <v>78</v>
      </c>
      <c r="J16" s="81">
        <f>4533475.22-81949.75+58744+44160.6+36969.65+373.44</f>
        <v>4591773.16</v>
      </c>
      <c r="K16" s="96">
        <f>4741057.86-49476.6-3607.73-272.19-51942.99-30</f>
        <v>4635728.3499999996</v>
      </c>
      <c r="L16" s="81">
        <v>4787389.63</v>
      </c>
      <c r="M16" s="96">
        <f>4801089.71-116312.86-21188</f>
        <v>4663588.8499999996</v>
      </c>
      <c r="N16" s="96">
        <f>M16+116312.86+21188</f>
        <v>4801089.71</v>
      </c>
      <c r="O16" s="96">
        <f>N16</f>
        <v>4801089.71</v>
      </c>
      <c r="P16" s="96">
        <f>SUM(J16:O16)</f>
        <v>28280659.410000004</v>
      </c>
      <c r="Q16" s="590" t="s">
        <v>85</v>
      </c>
      <c r="R16" s="9" t="s">
        <v>187</v>
      </c>
    </row>
    <row r="17" spans="1:18" ht="138" customHeight="1">
      <c r="A17" s="576"/>
      <c r="B17" s="125" t="s">
        <v>138</v>
      </c>
      <c r="C17" s="126" t="s">
        <v>56</v>
      </c>
      <c r="D17" s="100" t="s">
        <v>74</v>
      </c>
      <c r="E17" s="100" t="s">
        <v>27</v>
      </c>
      <c r="F17" s="101" t="s">
        <v>77</v>
      </c>
      <c r="G17" s="101" t="s">
        <v>16</v>
      </c>
      <c r="H17" s="100" t="s">
        <v>252</v>
      </c>
      <c r="I17" s="100" t="s">
        <v>78</v>
      </c>
      <c r="J17" s="81">
        <f>81130.25-36969.65</f>
        <v>44160.6</v>
      </c>
      <c r="K17" s="230">
        <f>27180.37+27219.04+13920.3</f>
        <v>68319.710000000006</v>
      </c>
      <c r="L17" s="81">
        <v>16169.92</v>
      </c>
      <c r="M17" s="96">
        <f>10950.42+7370.83</f>
        <v>18321.25</v>
      </c>
      <c r="N17" s="96"/>
      <c r="O17" s="96"/>
      <c r="P17" s="104">
        <f>J17+K17+L17+M17+N17</f>
        <v>146971.47999999998</v>
      </c>
      <c r="Q17" s="591"/>
    </row>
    <row r="18" spans="1:18" ht="164.25" customHeight="1">
      <c r="A18" s="576"/>
      <c r="B18" s="125" t="s">
        <v>139</v>
      </c>
      <c r="C18" s="126" t="s">
        <v>56</v>
      </c>
      <c r="D18" s="100" t="s">
        <v>74</v>
      </c>
      <c r="E18" s="100" t="s">
        <v>27</v>
      </c>
      <c r="F18" s="101" t="s">
        <v>77</v>
      </c>
      <c r="G18" s="101" t="s">
        <v>16</v>
      </c>
      <c r="H18" s="100" t="s">
        <v>253</v>
      </c>
      <c r="I18" s="100" t="s">
        <v>78</v>
      </c>
      <c r="J18" s="87">
        <f>446.06</f>
        <v>446.06</v>
      </c>
      <c r="K18" s="104">
        <f>443.89+272.19+30</f>
        <v>746.07999999999993</v>
      </c>
      <c r="L18" s="81">
        <v>175.92</v>
      </c>
      <c r="M18" s="96"/>
      <c r="N18" s="104"/>
      <c r="O18" s="104"/>
      <c r="P18" s="104">
        <f t="shared" ref="P18:P20" si="1">J18+K18+L18+M18</f>
        <v>1368.06</v>
      </c>
      <c r="Q18" s="592"/>
    </row>
    <row r="19" spans="1:18" s="51" customFormat="1" ht="73.5" customHeight="1">
      <c r="A19" s="576"/>
      <c r="B19" s="125" t="s">
        <v>140</v>
      </c>
      <c r="C19" s="126" t="s">
        <v>56</v>
      </c>
      <c r="D19" s="100" t="s">
        <v>74</v>
      </c>
      <c r="E19" s="100" t="s">
        <v>27</v>
      </c>
      <c r="F19" s="101" t="s">
        <v>77</v>
      </c>
      <c r="G19" s="101" t="s">
        <v>16</v>
      </c>
      <c r="H19" s="100" t="s">
        <v>259</v>
      </c>
      <c r="I19" s="100" t="s">
        <v>78</v>
      </c>
      <c r="J19" s="87"/>
      <c r="K19" s="104"/>
      <c r="L19" s="96">
        <v>36824.68</v>
      </c>
      <c r="M19" s="96">
        <f>34329.06+13481.43</f>
        <v>47810.49</v>
      </c>
      <c r="N19" s="104"/>
      <c r="O19" s="104"/>
      <c r="P19" s="104">
        <f t="shared" si="1"/>
        <v>84635.17</v>
      </c>
      <c r="Q19" s="127"/>
    </row>
    <row r="20" spans="1:18" s="56" customFormat="1" ht="164.25" customHeight="1">
      <c r="A20" s="576"/>
      <c r="B20" s="276" t="s">
        <v>341</v>
      </c>
      <c r="C20" s="126" t="s">
        <v>56</v>
      </c>
      <c r="D20" s="100" t="s">
        <v>74</v>
      </c>
      <c r="E20" s="100" t="s">
        <v>27</v>
      </c>
      <c r="F20" s="101" t="s">
        <v>77</v>
      </c>
      <c r="G20" s="101" t="s">
        <v>16</v>
      </c>
      <c r="H20" s="100" t="s">
        <v>338</v>
      </c>
      <c r="I20" s="100" t="s">
        <v>78</v>
      </c>
      <c r="J20" s="87"/>
      <c r="K20" s="104"/>
      <c r="L20" s="96"/>
      <c r="M20" s="96">
        <f>220105.96+31454.24+207019.35+61045.16</f>
        <v>519624.70999999996</v>
      </c>
      <c r="N20" s="104"/>
      <c r="O20" s="104"/>
      <c r="P20" s="104">
        <f t="shared" si="1"/>
        <v>519624.70999999996</v>
      </c>
      <c r="Q20" s="403"/>
    </row>
    <row r="21" spans="1:18" ht="87.75" customHeight="1">
      <c r="A21" s="522"/>
      <c r="B21" s="126" t="s">
        <v>113</v>
      </c>
      <c r="C21" s="126" t="s">
        <v>56</v>
      </c>
      <c r="D21" s="231" t="s">
        <v>74</v>
      </c>
      <c r="E21" s="232" t="s">
        <v>27</v>
      </c>
      <c r="F21" s="233" t="s">
        <v>77</v>
      </c>
      <c r="G21" s="233" t="s">
        <v>16</v>
      </c>
      <c r="H21" s="232" t="s">
        <v>247</v>
      </c>
      <c r="I21" s="232" t="s">
        <v>80</v>
      </c>
      <c r="J21" s="87">
        <v>7000</v>
      </c>
      <c r="K21" s="104">
        <v>0</v>
      </c>
      <c r="L21" s="81">
        <v>0</v>
      </c>
      <c r="M21" s="96"/>
      <c r="N21" s="104"/>
      <c r="O21" s="104"/>
      <c r="P21" s="104">
        <f t="shared" ref="P21:P23" si="2">SUM(J21:M21)</f>
        <v>7000</v>
      </c>
      <c r="Q21" s="127"/>
    </row>
    <row r="22" spans="1:18" ht="122.25" customHeight="1">
      <c r="A22" s="103" t="s">
        <v>57</v>
      </c>
      <c r="B22" s="106" t="s">
        <v>58</v>
      </c>
      <c r="C22" s="125" t="s">
        <v>56</v>
      </c>
      <c r="D22" s="103"/>
      <c r="E22" s="103"/>
      <c r="F22" s="158"/>
      <c r="G22" s="177"/>
      <c r="H22" s="79"/>
      <c r="I22" s="103"/>
      <c r="J22" s="87"/>
      <c r="K22" s="104"/>
      <c r="L22" s="81"/>
      <c r="M22" s="96"/>
      <c r="N22" s="104"/>
      <c r="O22" s="104"/>
      <c r="P22" s="104">
        <f t="shared" si="2"/>
        <v>0</v>
      </c>
      <c r="Q22" s="234" t="s">
        <v>86</v>
      </c>
    </row>
    <row r="23" spans="1:18" ht="173.25" customHeight="1">
      <c r="A23" s="103" t="s">
        <v>103</v>
      </c>
      <c r="B23" s="235" t="s">
        <v>153</v>
      </c>
      <c r="C23" s="125" t="s">
        <v>56</v>
      </c>
      <c r="D23" s="231" t="s">
        <v>74</v>
      </c>
      <c r="E23" s="232" t="s">
        <v>27</v>
      </c>
      <c r="F23" s="233" t="s">
        <v>77</v>
      </c>
      <c r="G23" s="233" t="s">
        <v>16</v>
      </c>
      <c r="H23" s="232" t="s">
        <v>261</v>
      </c>
      <c r="I23" s="232" t="s">
        <v>80</v>
      </c>
      <c r="J23" s="87">
        <v>6181600</v>
      </c>
      <c r="K23" s="104">
        <v>0</v>
      </c>
      <c r="L23" s="81">
        <v>0</v>
      </c>
      <c r="M23" s="96"/>
      <c r="N23" s="104"/>
      <c r="O23" s="104"/>
      <c r="P23" s="104">
        <f t="shared" si="2"/>
        <v>6181600</v>
      </c>
      <c r="Q23" s="234" t="s">
        <v>154</v>
      </c>
      <c r="R23" s="9" t="s">
        <v>0</v>
      </c>
    </row>
    <row r="24" spans="1:18" s="23" customFormat="1" ht="44.25" customHeight="1">
      <c r="A24" s="521" t="s">
        <v>160</v>
      </c>
      <c r="B24" s="583" t="s">
        <v>172</v>
      </c>
      <c r="C24" s="125" t="s">
        <v>56</v>
      </c>
      <c r="D24" s="231" t="s">
        <v>74</v>
      </c>
      <c r="E24" s="232" t="s">
        <v>27</v>
      </c>
      <c r="F24" s="233" t="s">
        <v>77</v>
      </c>
      <c r="G24" s="233" t="s">
        <v>16</v>
      </c>
      <c r="H24" s="231" t="s">
        <v>255</v>
      </c>
      <c r="I24" s="232" t="s">
        <v>78</v>
      </c>
      <c r="J24" s="87">
        <v>2920.72</v>
      </c>
      <c r="K24" s="104"/>
      <c r="L24" s="81"/>
      <c r="M24" s="96"/>
      <c r="N24" s="104"/>
      <c r="O24" s="104"/>
      <c r="P24" s="104">
        <f>J24+K24+L24+M24</f>
        <v>2920.72</v>
      </c>
      <c r="Q24" s="234"/>
    </row>
    <row r="25" spans="1:18" s="23" customFormat="1" ht="84.75" customHeight="1">
      <c r="A25" s="522"/>
      <c r="B25" s="584"/>
      <c r="C25" s="125" t="s">
        <v>56</v>
      </c>
      <c r="D25" s="231" t="s">
        <v>74</v>
      </c>
      <c r="E25" s="232" t="s">
        <v>27</v>
      </c>
      <c r="F25" s="233" t="s">
        <v>77</v>
      </c>
      <c r="G25" s="233" t="s">
        <v>16</v>
      </c>
      <c r="H25" s="232" t="s">
        <v>255</v>
      </c>
      <c r="I25" s="232" t="s">
        <v>78</v>
      </c>
      <c r="J25" s="87">
        <v>42334.71</v>
      </c>
      <c r="K25" s="104"/>
      <c r="L25" s="81"/>
      <c r="M25" s="96"/>
      <c r="N25" s="104"/>
      <c r="O25" s="104"/>
      <c r="P25" s="104">
        <f>J25+K25+L25+M25</f>
        <v>42334.71</v>
      </c>
      <c r="Q25" s="234"/>
    </row>
    <row r="26" spans="1:18" s="56" customFormat="1" ht="84.75" customHeight="1">
      <c r="A26" s="432"/>
      <c r="B26" s="439" t="s">
        <v>353</v>
      </c>
      <c r="C26" s="433" t="s">
        <v>56</v>
      </c>
      <c r="D26" s="231" t="s">
        <v>74</v>
      </c>
      <c r="E26" s="232" t="s">
        <v>27</v>
      </c>
      <c r="F26" s="233" t="s">
        <v>77</v>
      </c>
      <c r="G26" s="233" t="s">
        <v>16</v>
      </c>
      <c r="H26" s="232" t="s">
        <v>299</v>
      </c>
      <c r="I26" s="232" t="s">
        <v>80</v>
      </c>
      <c r="J26" s="87"/>
      <c r="K26" s="104"/>
      <c r="L26" s="81"/>
      <c r="M26" s="96">
        <v>68530</v>
      </c>
      <c r="N26" s="104"/>
      <c r="O26" s="104"/>
      <c r="P26" s="104">
        <f>SUM(J26:O26)</f>
        <v>68530</v>
      </c>
      <c r="Q26" s="234"/>
    </row>
    <row r="27" spans="1:18" ht="29.25" customHeight="1">
      <c r="A27" s="236"/>
      <c r="B27" s="237" t="s">
        <v>15</v>
      </c>
      <c r="C27" s="238"/>
      <c r="D27" s="237"/>
      <c r="E27" s="237"/>
      <c r="F27" s="239"/>
      <c r="G27" s="240"/>
      <c r="H27" s="241"/>
      <c r="I27" s="237"/>
      <c r="J27" s="242">
        <f>SUM(J9:J25)</f>
        <v>36915910.470000006</v>
      </c>
      <c r="K27" s="242">
        <f>SUM(K9:K25)</f>
        <v>31875520.450000003</v>
      </c>
      <c r="L27" s="242">
        <f>SUM(L9:L23)</f>
        <v>32616021.970000003</v>
      </c>
      <c r="M27" s="242">
        <f>SUM(M9:M26)</f>
        <v>35079593.200000003</v>
      </c>
      <c r="N27" s="242">
        <f>SUM(N9:N23)</f>
        <v>32239126.650000002</v>
      </c>
      <c r="O27" s="242">
        <f>SUM(O9:O23)</f>
        <v>32239126.650000002</v>
      </c>
      <c r="P27" s="242">
        <f>J27+K27+L27+M27+N27+O27</f>
        <v>200965299.39000005</v>
      </c>
      <c r="Q27" s="238"/>
      <c r="R27" s="8"/>
    </row>
    <row r="28" spans="1:18" ht="27" customHeight="1">
      <c r="A28" s="192" t="s">
        <v>16</v>
      </c>
      <c r="B28" s="565" t="s">
        <v>59</v>
      </c>
      <c r="C28" s="566"/>
      <c r="D28" s="566"/>
      <c r="E28" s="566"/>
      <c r="F28" s="566"/>
      <c r="G28" s="566"/>
      <c r="H28" s="566"/>
      <c r="I28" s="566"/>
      <c r="J28" s="566"/>
      <c r="K28" s="566"/>
      <c r="L28" s="566"/>
      <c r="M28" s="566"/>
      <c r="N28" s="566"/>
      <c r="O28" s="566"/>
      <c r="P28" s="567"/>
      <c r="Q28" s="243"/>
    </row>
    <row r="29" spans="1:18" ht="44.25" customHeight="1">
      <c r="A29" s="521" t="s">
        <v>17</v>
      </c>
      <c r="B29" s="572" t="s">
        <v>124</v>
      </c>
      <c r="C29" s="106" t="s">
        <v>56</v>
      </c>
      <c r="D29" s="99" t="s">
        <v>74</v>
      </c>
      <c r="E29" s="100" t="s">
        <v>27</v>
      </c>
      <c r="F29" s="101" t="s">
        <v>77</v>
      </c>
      <c r="G29" s="101" t="s">
        <v>16</v>
      </c>
      <c r="H29" s="111" t="s">
        <v>262</v>
      </c>
      <c r="I29" s="103" t="s">
        <v>80</v>
      </c>
      <c r="J29" s="135">
        <f>12000</f>
        <v>12000</v>
      </c>
      <c r="K29" s="136">
        <v>0</v>
      </c>
      <c r="L29" s="133">
        <v>0</v>
      </c>
      <c r="M29" s="283"/>
      <c r="N29" s="136"/>
      <c r="O29" s="136"/>
      <c r="P29" s="136">
        <f t="shared" ref="P29:P36" si="3">SUM(J29:M29)</f>
        <v>12000</v>
      </c>
      <c r="Q29" s="580" t="s">
        <v>87</v>
      </c>
      <c r="R29" s="15" t="s">
        <v>0</v>
      </c>
    </row>
    <row r="30" spans="1:18" ht="44.25" customHeight="1">
      <c r="A30" s="576"/>
      <c r="B30" s="585"/>
      <c r="C30" s="106" t="s">
        <v>56</v>
      </c>
      <c r="D30" s="99" t="s">
        <v>74</v>
      </c>
      <c r="E30" s="100" t="s">
        <v>27</v>
      </c>
      <c r="F30" s="101" t="s">
        <v>77</v>
      </c>
      <c r="G30" s="101" t="s">
        <v>16</v>
      </c>
      <c r="H30" s="111" t="s">
        <v>262</v>
      </c>
      <c r="I30" s="103" t="s">
        <v>80</v>
      </c>
      <c r="J30" s="135">
        <f>3400</f>
        <v>3400</v>
      </c>
      <c r="K30" s="136">
        <v>0</v>
      </c>
      <c r="L30" s="133"/>
      <c r="M30" s="283"/>
      <c r="N30" s="136"/>
      <c r="O30" s="136"/>
      <c r="P30" s="136">
        <f t="shared" si="3"/>
        <v>3400</v>
      </c>
      <c r="Q30" s="581"/>
      <c r="R30" s="15" t="s">
        <v>148</v>
      </c>
    </row>
    <row r="31" spans="1:18" ht="37.5" customHeight="1">
      <c r="A31" s="522"/>
      <c r="B31" s="573"/>
      <c r="C31" s="106" t="s">
        <v>56</v>
      </c>
      <c r="D31" s="99" t="s">
        <v>74</v>
      </c>
      <c r="E31" s="100" t="s">
        <v>75</v>
      </c>
      <c r="F31" s="101" t="s">
        <v>77</v>
      </c>
      <c r="G31" s="101" t="s">
        <v>16</v>
      </c>
      <c r="H31" s="111" t="s">
        <v>262</v>
      </c>
      <c r="I31" s="103" t="s">
        <v>80</v>
      </c>
      <c r="J31" s="135">
        <f>18200</f>
        <v>18200</v>
      </c>
      <c r="K31" s="136"/>
      <c r="L31" s="133"/>
      <c r="M31" s="283"/>
      <c r="N31" s="136"/>
      <c r="O31" s="136"/>
      <c r="P31" s="136">
        <f t="shared" si="3"/>
        <v>18200</v>
      </c>
      <c r="Q31" s="582"/>
      <c r="R31" s="16" t="s">
        <v>104</v>
      </c>
    </row>
    <row r="32" spans="1:18" ht="37.5" customHeight="1">
      <c r="A32" s="521" t="s">
        <v>72</v>
      </c>
      <c r="B32" s="572" t="s">
        <v>151</v>
      </c>
      <c r="C32" s="106" t="s">
        <v>56</v>
      </c>
      <c r="D32" s="99" t="s">
        <v>74</v>
      </c>
      <c r="E32" s="100" t="s">
        <v>27</v>
      </c>
      <c r="F32" s="101" t="s">
        <v>77</v>
      </c>
      <c r="G32" s="101" t="s">
        <v>16</v>
      </c>
      <c r="H32" s="111" t="s">
        <v>263</v>
      </c>
      <c r="I32" s="103" t="s">
        <v>80</v>
      </c>
      <c r="J32" s="135">
        <f>1200000</f>
        <v>1200000</v>
      </c>
      <c r="K32" s="136">
        <v>200000</v>
      </c>
      <c r="L32" s="133">
        <v>350000</v>
      </c>
      <c r="M32" s="283"/>
      <c r="N32" s="136"/>
      <c r="O32" s="136"/>
      <c r="P32" s="136">
        <f t="shared" si="3"/>
        <v>1750000</v>
      </c>
      <c r="Q32" s="580" t="s">
        <v>87</v>
      </c>
      <c r="R32" s="16" t="s">
        <v>211</v>
      </c>
    </row>
    <row r="33" spans="1:20" ht="37.5" customHeight="1">
      <c r="A33" s="576"/>
      <c r="B33" s="585"/>
      <c r="C33" s="106" t="s">
        <v>56</v>
      </c>
      <c r="D33" s="99" t="s">
        <v>74</v>
      </c>
      <c r="E33" s="100" t="s">
        <v>27</v>
      </c>
      <c r="F33" s="101" t="s">
        <v>77</v>
      </c>
      <c r="G33" s="101" t="s">
        <v>16</v>
      </c>
      <c r="H33" s="111" t="s">
        <v>263</v>
      </c>
      <c r="I33" s="103" t="s">
        <v>80</v>
      </c>
      <c r="J33" s="135">
        <f>340000</f>
        <v>340000</v>
      </c>
      <c r="K33" s="136">
        <v>0</v>
      </c>
      <c r="L33" s="133"/>
      <c r="M33" s="283"/>
      <c r="N33" s="136"/>
      <c r="O33" s="136"/>
      <c r="P33" s="136">
        <f t="shared" si="3"/>
        <v>340000</v>
      </c>
      <c r="Q33" s="581"/>
      <c r="R33" s="16"/>
    </row>
    <row r="34" spans="1:20" ht="54.75" customHeight="1">
      <c r="A34" s="576"/>
      <c r="B34" s="585"/>
      <c r="C34" s="106" t="s">
        <v>56</v>
      </c>
      <c r="D34" s="99" t="s">
        <v>74</v>
      </c>
      <c r="E34" s="100" t="s">
        <v>75</v>
      </c>
      <c r="F34" s="101" t="s">
        <v>77</v>
      </c>
      <c r="G34" s="101" t="s">
        <v>16</v>
      </c>
      <c r="H34" s="111" t="s">
        <v>263</v>
      </c>
      <c r="I34" s="103" t="s">
        <v>80</v>
      </c>
      <c r="J34" s="135">
        <f>320000</f>
        <v>320000</v>
      </c>
      <c r="K34" s="136"/>
      <c r="L34" s="133">
        <v>200000</v>
      </c>
      <c r="M34" s="283"/>
      <c r="N34" s="136"/>
      <c r="O34" s="136"/>
      <c r="P34" s="136">
        <f t="shared" si="3"/>
        <v>520000</v>
      </c>
      <c r="Q34" s="582"/>
      <c r="R34" s="16"/>
    </row>
    <row r="35" spans="1:20" s="50" customFormat="1" ht="65.25" customHeight="1">
      <c r="A35" s="522"/>
      <c r="B35" s="573"/>
      <c r="C35" s="106" t="s">
        <v>56</v>
      </c>
      <c r="D35" s="99" t="s">
        <v>74</v>
      </c>
      <c r="E35" s="100" t="s">
        <v>27</v>
      </c>
      <c r="F35" s="101" t="s">
        <v>77</v>
      </c>
      <c r="G35" s="101" t="s">
        <v>16</v>
      </c>
      <c r="H35" s="111" t="s">
        <v>263</v>
      </c>
      <c r="I35" s="103" t="s">
        <v>28</v>
      </c>
      <c r="J35" s="135"/>
      <c r="K35" s="136"/>
      <c r="L35" s="283">
        <v>208000</v>
      </c>
      <c r="M35" s="283"/>
      <c r="N35" s="136"/>
      <c r="O35" s="136"/>
      <c r="P35" s="136">
        <f t="shared" si="3"/>
        <v>208000</v>
      </c>
      <c r="Q35" s="229"/>
      <c r="R35" s="16"/>
    </row>
    <row r="36" spans="1:20" s="33" customFormat="1" ht="98.25" customHeight="1">
      <c r="A36" s="521" t="s">
        <v>73</v>
      </c>
      <c r="B36" s="577" t="s">
        <v>212</v>
      </c>
      <c r="C36" s="137" t="s">
        <v>56</v>
      </c>
      <c r="D36" s="138" t="s">
        <v>74</v>
      </c>
      <c r="E36" s="139" t="s">
        <v>27</v>
      </c>
      <c r="F36" s="140" t="s">
        <v>77</v>
      </c>
      <c r="G36" s="140" t="s">
        <v>16</v>
      </c>
      <c r="H36" s="141" t="s">
        <v>262</v>
      </c>
      <c r="I36" s="142" t="s">
        <v>80</v>
      </c>
      <c r="J36" s="244"/>
      <c r="K36" s="244">
        <v>2000</v>
      </c>
      <c r="L36" s="133">
        <f>3500+2100+1600</f>
        <v>7200</v>
      </c>
      <c r="M36" s="307"/>
      <c r="N36" s="244"/>
      <c r="O36" s="244"/>
      <c r="P36" s="244">
        <f t="shared" si="3"/>
        <v>9200</v>
      </c>
      <c r="Q36" s="245"/>
      <c r="R36" s="16" t="s">
        <v>213</v>
      </c>
    </row>
    <row r="37" spans="1:20" s="50" customFormat="1" ht="80.25" customHeight="1">
      <c r="A37" s="576"/>
      <c r="B37" s="578"/>
      <c r="C37" s="143" t="s">
        <v>56</v>
      </c>
      <c r="D37" s="138" t="s">
        <v>74</v>
      </c>
      <c r="E37" s="139" t="s">
        <v>75</v>
      </c>
      <c r="F37" s="246" t="s">
        <v>77</v>
      </c>
      <c r="G37" s="140" t="s">
        <v>16</v>
      </c>
      <c r="H37" s="141" t="s">
        <v>262</v>
      </c>
      <c r="I37" s="142" t="s">
        <v>80</v>
      </c>
      <c r="J37" s="244"/>
      <c r="K37" s="244"/>
      <c r="L37" s="133">
        <f>2000+2100</f>
        <v>4100</v>
      </c>
      <c r="M37" s="307"/>
      <c r="N37" s="244"/>
      <c r="O37" s="244"/>
      <c r="P37" s="244">
        <f>L37</f>
        <v>4100</v>
      </c>
      <c r="Q37" s="245"/>
      <c r="R37" s="16"/>
    </row>
    <row r="38" spans="1:20" s="49" customFormat="1" ht="78.75" customHeight="1">
      <c r="A38" s="522"/>
      <c r="B38" s="579"/>
      <c r="C38" s="143" t="s">
        <v>56</v>
      </c>
      <c r="D38" s="144" t="s">
        <v>74</v>
      </c>
      <c r="E38" s="145" t="s">
        <v>27</v>
      </c>
      <c r="F38" s="145" t="s">
        <v>77</v>
      </c>
      <c r="G38" s="146" t="s">
        <v>16</v>
      </c>
      <c r="H38" s="147" t="s">
        <v>262</v>
      </c>
      <c r="I38" s="148" t="s">
        <v>28</v>
      </c>
      <c r="J38" s="143"/>
      <c r="K38" s="143"/>
      <c r="L38" s="287">
        <f>4206+94</f>
        <v>4300</v>
      </c>
      <c r="M38" s="287"/>
      <c r="N38" s="143"/>
      <c r="O38" s="143"/>
      <c r="P38" s="143">
        <f>L38</f>
        <v>4300</v>
      </c>
      <c r="Q38" s="245"/>
      <c r="R38" s="16"/>
    </row>
    <row r="39" spans="1:20" ht="30.75" customHeight="1">
      <c r="A39" s="236"/>
      <c r="B39" s="237" t="s">
        <v>18</v>
      </c>
      <c r="C39" s="238"/>
      <c r="D39" s="237"/>
      <c r="E39" s="237"/>
      <c r="F39" s="247"/>
      <c r="G39" s="248"/>
      <c r="H39" s="249"/>
      <c r="I39" s="237"/>
      <c r="J39" s="250">
        <f>SUM(J29:J34)</f>
        <v>1893600</v>
      </c>
      <c r="K39" s="250">
        <f>SUM(K29:K36)</f>
        <v>202000</v>
      </c>
      <c r="L39" s="250">
        <f>L32+L33+L34+L35+L36+L37+L38</f>
        <v>773600</v>
      </c>
      <c r="M39" s="250">
        <f>SUM(M29:M31)</f>
        <v>0</v>
      </c>
      <c r="N39" s="250">
        <f>SUM(N29:N31)</f>
        <v>0</v>
      </c>
      <c r="O39" s="250">
        <f>SUM(O29:O31)</f>
        <v>0</v>
      </c>
      <c r="P39" s="250">
        <f>SUM(P29:P38)</f>
        <v>2869200</v>
      </c>
      <c r="Q39" s="238"/>
      <c r="R39" s="8"/>
    </row>
    <row r="40" spans="1:20" ht="23.25" customHeight="1">
      <c r="A40" s="192" t="s">
        <v>19</v>
      </c>
      <c r="B40" s="565" t="s">
        <v>222</v>
      </c>
      <c r="C40" s="566"/>
      <c r="D40" s="566"/>
      <c r="E40" s="566"/>
      <c r="F40" s="566"/>
      <c r="G40" s="566"/>
      <c r="H40" s="566"/>
      <c r="I40" s="566"/>
      <c r="J40" s="566"/>
      <c r="K40" s="566"/>
      <c r="L40" s="566"/>
      <c r="M40" s="566"/>
      <c r="N40" s="566"/>
      <c r="O40" s="566"/>
      <c r="P40" s="567"/>
      <c r="Q40" s="243"/>
    </row>
    <row r="41" spans="1:20" ht="54" customHeight="1">
      <c r="A41" s="521" t="s">
        <v>174</v>
      </c>
      <c r="B41" s="572" t="s">
        <v>60</v>
      </c>
      <c r="C41" s="327" t="s">
        <v>56</v>
      </c>
      <c r="D41" s="99" t="s">
        <v>74</v>
      </c>
      <c r="E41" s="100" t="s">
        <v>27</v>
      </c>
      <c r="F41" s="101" t="s">
        <v>77</v>
      </c>
      <c r="G41" s="101" t="s">
        <v>16</v>
      </c>
      <c r="H41" s="86" t="s">
        <v>248</v>
      </c>
      <c r="I41" s="319" t="s">
        <v>28</v>
      </c>
      <c r="J41" s="87">
        <v>2126280</v>
      </c>
      <c r="K41" s="104"/>
      <c r="L41" s="104"/>
      <c r="M41" s="96"/>
      <c r="N41" s="104"/>
      <c r="O41" s="104"/>
      <c r="P41" s="104">
        <f>SUM(J41:M41)</f>
        <v>2126280</v>
      </c>
      <c r="Q41" s="590"/>
      <c r="R41" s="19"/>
      <c r="S41" s="20"/>
      <c r="T41" s="20"/>
    </row>
    <row r="42" spans="1:20" s="24" customFormat="1" ht="51" customHeight="1">
      <c r="A42" s="588"/>
      <c r="B42" s="588"/>
      <c r="C42" s="327" t="s">
        <v>56</v>
      </c>
      <c r="D42" s="99" t="s">
        <v>74</v>
      </c>
      <c r="E42" s="100" t="s">
        <v>27</v>
      </c>
      <c r="F42" s="101" t="s">
        <v>77</v>
      </c>
      <c r="G42" s="101" t="s">
        <v>16</v>
      </c>
      <c r="H42" s="86" t="s">
        <v>248</v>
      </c>
      <c r="I42" s="319" t="s">
        <v>28</v>
      </c>
      <c r="J42" s="87">
        <v>662220</v>
      </c>
      <c r="K42" s="104">
        <f>345000+65100+10000</f>
        <v>420100</v>
      </c>
      <c r="L42" s="104">
        <f>75500+30000-250+30000+30000+20000</f>
        <v>185250</v>
      </c>
      <c r="M42" s="96">
        <f>120000+59750</f>
        <v>179750</v>
      </c>
      <c r="N42" s="104">
        <f>120000+59750</f>
        <v>179750</v>
      </c>
      <c r="O42" s="104">
        <f>120000+59750</f>
        <v>179750</v>
      </c>
      <c r="P42" s="104">
        <f>SUM(J42:O42)</f>
        <v>1806820</v>
      </c>
      <c r="Q42" s="591"/>
      <c r="R42" s="31" t="s">
        <v>186</v>
      </c>
      <c r="S42" s="25"/>
      <c r="T42" s="25"/>
    </row>
    <row r="43" spans="1:20" ht="38.25" customHeight="1">
      <c r="A43" s="588"/>
      <c r="B43" s="588"/>
      <c r="C43" s="327" t="s">
        <v>56</v>
      </c>
      <c r="D43" s="319" t="s">
        <v>74</v>
      </c>
      <c r="E43" s="319" t="s">
        <v>75</v>
      </c>
      <c r="F43" s="158" t="s">
        <v>77</v>
      </c>
      <c r="G43" s="177" t="s">
        <v>16</v>
      </c>
      <c r="H43" s="86" t="s">
        <v>248</v>
      </c>
      <c r="I43" s="319" t="s">
        <v>80</v>
      </c>
      <c r="J43" s="87">
        <v>18500</v>
      </c>
      <c r="K43" s="104">
        <f>20000-2050</f>
        <v>17950</v>
      </c>
      <c r="L43" s="81">
        <f>20000-2000-2100-721.7</f>
        <v>15178.3</v>
      </c>
      <c r="M43" s="96">
        <v>20000</v>
      </c>
      <c r="N43" s="104">
        <v>20000</v>
      </c>
      <c r="O43" s="104">
        <v>20000</v>
      </c>
      <c r="P43" s="104">
        <f>SUM(J43:O43)</f>
        <v>111628.3</v>
      </c>
      <c r="Q43" s="591"/>
      <c r="R43" s="34" t="s">
        <v>209</v>
      </c>
      <c r="S43" s="21"/>
      <c r="T43" s="21"/>
    </row>
    <row r="44" spans="1:20" ht="43.5" customHeight="1">
      <c r="A44" s="588"/>
      <c r="B44" s="588"/>
      <c r="C44" s="327" t="s">
        <v>56</v>
      </c>
      <c r="D44" s="99" t="s">
        <v>74</v>
      </c>
      <c r="E44" s="100" t="s">
        <v>27</v>
      </c>
      <c r="F44" s="101" t="s">
        <v>77</v>
      </c>
      <c r="G44" s="101" t="s">
        <v>16</v>
      </c>
      <c r="H44" s="86" t="s">
        <v>248</v>
      </c>
      <c r="I44" s="319" t="s">
        <v>80</v>
      </c>
      <c r="J44" s="87"/>
      <c r="K44" s="104">
        <f>537000+103000+110000+988454-80000-37559</f>
        <v>1620895</v>
      </c>
      <c r="L44" s="81">
        <v>1482800</v>
      </c>
      <c r="M44" s="96">
        <f>1067000+103000+110000-13300+150000-239005.02</f>
        <v>1177694.98</v>
      </c>
      <c r="N44" s="104">
        <f>1280000</f>
        <v>1280000</v>
      </c>
      <c r="O44" s="104">
        <f>N44</f>
        <v>1280000</v>
      </c>
      <c r="P44" s="104">
        <f>J44+K44+L44+M44+N44+O44</f>
        <v>6841389.9800000004</v>
      </c>
      <c r="Q44" s="591"/>
      <c r="R44" s="34" t="s">
        <v>210</v>
      </c>
      <c r="S44" s="21"/>
      <c r="T44" s="21"/>
    </row>
    <row r="45" spans="1:20" ht="38.25" hidden="1" customHeight="1">
      <c r="A45" s="588"/>
      <c r="B45" s="588"/>
      <c r="C45" s="327" t="s">
        <v>162</v>
      </c>
      <c r="D45" s="319" t="s">
        <v>74</v>
      </c>
      <c r="E45" s="319" t="s">
        <v>27</v>
      </c>
      <c r="F45" s="158" t="s">
        <v>77</v>
      </c>
      <c r="G45" s="177" t="s">
        <v>16</v>
      </c>
      <c r="H45" s="79" t="s">
        <v>99</v>
      </c>
      <c r="I45" s="319" t="s">
        <v>80</v>
      </c>
      <c r="J45" s="87">
        <v>0</v>
      </c>
      <c r="K45" s="104">
        <f>15000+10000+20000+20000+10000+33000+10000+15000+869000+10000+20000+30000+16000+20000</f>
        <v>1098000</v>
      </c>
      <c r="L45" s="104">
        <f>15000+10000+20000+20000+10000+33000+10000+15000+869000+10000+20000+30000+16000+20000+200000</f>
        <v>1298000</v>
      </c>
      <c r="M45" s="96">
        <f>15000+10000+20000+20000+10000+33000+10000+15000+869000+10000+20000+30000+16000+20000+200000</f>
        <v>1298000</v>
      </c>
      <c r="N45" s="104"/>
      <c r="O45" s="104"/>
      <c r="P45" s="104">
        <f t="shared" ref="P45" si="4">SUM(J45:M45)</f>
        <v>3694000</v>
      </c>
      <c r="Q45" s="591"/>
      <c r="R45" s="586"/>
      <c r="S45" s="587"/>
      <c r="T45" s="587"/>
    </row>
    <row r="46" spans="1:20" ht="24.75" hidden="1" customHeight="1">
      <c r="A46" s="588"/>
      <c r="B46" s="588"/>
      <c r="C46" s="327" t="s">
        <v>165</v>
      </c>
      <c r="D46" s="99" t="s">
        <v>74</v>
      </c>
      <c r="E46" s="100" t="s">
        <v>27</v>
      </c>
      <c r="F46" s="101" t="s">
        <v>77</v>
      </c>
      <c r="G46" s="101" t="s">
        <v>16</v>
      </c>
      <c r="H46" s="86" t="s">
        <v>99</v>
      </c>
      <c r="I46" s="319" t="s">
        <v>80</v>
      </c>
      <c r="J46" s="87">
        <v>0</v>
      </c>
      <c r="K46" s="104">
        <v>110000</v>
      </c>
      <c r="L46" s="104">
        <v>110000</v>
      </c>
      <c r="M46" s="96">
        <v>110000</v>
      </c>
      <c r="N46" s="104"/>
      <c r="O46" s="104"/>
      <c r="P46" s="104">
        <f t="shared" ref="P46:P56" si="5">SUM(J46:M46)</f>
        <v>330000</v>
      </c>
      <c r="Q46" s="591"/>
      <c r="R46" s="16"/>
    </row>
    <row r="47" spans="1:20" ht="24" hidden="1" customHeight="1">
      <c r="A47" s="588"/>
      <c r="B47" s="588"/>
      <c r="C47" s="327" t="s">
        <v>163</v>
      </c>
      <c r="D47" s="99" t="s">
        <v>74</v>
      </c>
      <c r="E47" s="100" t="s">
        <v>27</v>
      </c>
      <c r="F47" s="101" t="s">
        <v>77</v>
      </c>
      <c r="G47" s="101" t="s">
        <v>16</v>
      </c>
      <c r="H47" s="86" t="s">
        <v>99</v>
      </c>
      <c r="I47" s="319" t="s">
        <v>80</v>
      </c>
      <c r="J47" s="87">
        <v>0</v>
      </c>
      <c r="K47" s="104">
        <f>60000+20000+28000+15000</f>
        <v>123000</v>
      </c>
      <c r="L47" s="104">
        <f t="shared" ref="L47:M47" si="6">60000+20000+28000+15000</f>
        <v>123000</v>
      </c>
      <c r="M47" s="96">
        <f t="shared" si="6"/>
        <v>123000</v>
      </c>
      <c r="N47" s="104"/>
      <c r="O47" s="104"/>
      <c r="P47" s="104">
        <f t="shared" si="5"/>
        <v>369000</v>
      </c>
      <c r="Q47" s="591"/>
      <c r="R47" s="16"/>
    </row>
    <row r="48" spans="1:20" ht="24" hidden="1" customHeight="1">
      <c r="A48" s="588"/>
      <c r="B48" s="588"/>
      <c r="C48" s="327" t="s">
        <v>164</v>
      </c>
      <c r="D48" s="99" t="s">
        <v>74</v>
      </c>
      <c r="E48" s="100" t="s">
        <v>27</v>
      </c>
      <c r="F48" s="101" t="s">
        <v>77</v>
      </c>
      <c r="G48" s="101" t="s">
        <v>16</v>
      </c>
      <c r="H48" s="86" t="s">
        <v>99</v>
      </c>
      <c r="I48" s="319" t="s">
        <v>80</v>
      </c>
      <c r="J48" s="87">
        <v>0</v>
      </c>
      <c r="K48" s="104">
        <f>10000+20000+15000</f>
        <v>45000</v>
      </c>
      <c r="L48" s="104">
        <f t="shared" ref="L48:M48" si="7">10000+20000+15000</f>
        <v>45000</v>
      </c>
      <c r="M48" s="96">
        <f t="shared" si="7"/>
        <v>45000</v>
      </c>
      <c r="N48" s="104"/>
      <c r="O48" s="104"/>
      <c r="P48" s="104">
        <f t="shared" si="5"/>
        <v>135000</v>
      </c>
      <c r="Q48" s="591"/>
      <c r="R48" s="16"/>
    </row>
    <row r="49" spans="1:18" ht="36.75" hidden="1" customHeight="1">
      <c r="A49" s="589"/>
      <c r="B49" s="589"/>
      <c r="C49" s="326" t="s">
        <v>166</v>
      </c>
      <c r="D49" s="99" t="s">
        <v>74</v>
      </c>
      <c r="E49" s="100" t="s">
        <v>75</v>
      </c>
      <c r="F49" s="101" t="s">
        <v>77</v>
      </c>
      <c r="G49" s="101" t="s">
        <v>16</v>
      </c>
      <c r="H49" s="86" t="s">
        <v>99</v>
      </c>
      <c r="I49" s="319" t="s">
        <v>80</v>
      </c>
      <c r="J49" s="87">
        <v>18500</v>
      </c>
      <c r="K49" s="104">
        <f>10000+10000</f>
        <v>20000</v>
      </c>
      <c r="L49" s="104">
        <f t="shared" ref="L49:M49" si="8">10000+10000</f>
        <v>20000</v>
      </c>
      <c r="M49" s="96">
        <f t="shared" si="8"/>
        <v>20000</v>
      </c>
      <c r="N49" s="104"/>
      <c r="O49" s="104"/>
      <c r="P49" s="104">
        <f t="shared" si="5"/>
        <v>78500</v>
      </c>
      <c r="Q49" s="592"/>
      <c r="R49" s="16"/>
    </row>
    <row r="50" spans="1:18" ht="81" customHeight="1">
      <c r="A50" s="202" t="s">
        <v>98</v>
      </c>
      <c r="B50" s="326" t="s">
        <v>114</v>
      </c>
      <c r="C50" s="326" t="s">
        <v>56</v>
      </c>
      <c r="D50" s="92" t="s">
        <v>74</v>
      </c>
      <c r="E50" s="93" t="s">
        <v>27</v>
      </c>
      <c r="F50" s="94" t="s">
        <v>77</v>
      </c>
      <c r="G50" s="94" t="s">
        <v>16</v>
      </c>
      <c r="H50" s="86" t="s">
        <v>247</v>
      </c>
      <c r="I50" s="319" t="s">
        <v>28</v>
      </c>
      <c r="J50" s="87">
        <f>300000-29040-15000-100000-33600</f>
        <v>122360</v>
      </c>
      <c r="K50" s="104">
        <v>0</v>
      </c>
      <c r="L50" s="104">
        <v>0</v>
      </c>
      <c r="M50" s="96"/>
      <c r="N50" s="104"/>
      <c r="O50" s="104"/>
      <c r="P50" s="104">
        <f t="shared" si="5"/>
        <v>122360</v>
      </c>
      <c r="Q50" s="347"/>
      <c r="R50" s="16"/>
    </row>
    <row r="51" spans="1:18" s="56" customFormat="1" ht="189.75" customHeight="1">
      <c r="A51" s="202" t="s">
        <v>300</v>
      </c>
      <c r="B51" s="392" t="s">
        <v>337</v>
      </c>
      <c r="C51" s="354" t="s">
        <v>56</v>
      </c>
      <c r="D51" s="92" t="s">
        <v>74</v>
      </c>
      <c r="E51" s="93" t="s">
        <v>27</v>
      </c>
      <c r="F51" s="94" t="s">
        <v>77</v>
      </c>
      <c r="G51" s="94" t="s">
        <v>16</v>
      </c>
      <c r="H51" s="86" t="s">
        <v>336</v>
      </c>
      <c r="I51" s="352" t="s">
        <v>80</v>
      </c>
      <c r="J51" s="87"/>
      <c r="K51" s="104"/>
      <c r="L51" s="104"/>
      <c r="M51" s="96">
        <v>752800</v>
      </c>
      <c r="N51" s="104"/>
      <c r="O51" s="104"/>
      <c r="P51" s="104">
        <f t="shared" si="5"/>
        <v>752800</v>
      </c>
      <c r="Q51" s="347"/>
      <c r="R51" s="16"/>
    </row>
    <row r="52" spans="1:18" s="56" customFormat="1" ht="189.75" customHeight="1">
      <c r="A52" s="202" t="s">
        <v>315</v>
      </c>
      <c r="B52" s="379" t="s">
        <v>316</v>
      </c>
      <c r="C52" s="379" t="s">
        <v>56</v>
      </c>
      <c r="D52" s="92" t="s">
        <v>74</v>
      </c>
      <c r="E52" s="93" t="s">
        <v>27</v>
      </c>
      <c r="F52" s="94" t="s">
        <v>77</v>
      </c>
      <c r="G52" s="94" t="s">
        <v>16</v>
      </c>
      <c r="H52" s="86" t="s">
        <v>317</v>
      </c>
      <c r="I52" s="377" t="s">
        <v>80</v>
      </c>
      <c r="J52" s="87"/>
      <c r="K52" s="104"/>
      <c r="L52" s="104"/>
      <c r="M52" s="96">
        <f>2112480</f>
        <v>2112480</v>
      </c>
      <c r="N52" s="104"/>
      <c r="O52" s="104"/>
      <c r="P52" s="104">
        <f t="shared" si="5"/>
        <v>2112480</v>
      </c>
      <c r="Q52" s="347"/>
      <c r="R52" s="16"/>
    </row>
    <row r="53" spans="1:18" s="56" customFormat="1" ht="189.75" customHeight="1">
      <c r="A53" s="202" t="s">
        <v>318</v>
      </c>
      <c r="B53" s="382" t="s">
        <v>316</v>
      </c>
      <c r="C53" s="382" t="s">
        <v>56</v>
      </c>
      <c r="D53" s="92" t="s">
        <v>74</v>
      </c>
      <c r="E53" s="93" t="s">
        <v>27</v>
      </c>
      <c r="F53" s="94" t="s">
        <v>77</v>
      </c>
      <c r="G53" s="94" t="s">
        <v>16</v>
      </c>
      <c r="H53" s="86" t="s">
        <v>317</v>
      </c>
      <c r="I53" s="381" t="s">
        <v>80</v>
      </c>
      <c r="J53" s="87"/>
      <c r="K53" s="104"/>
      <c r="L53" s="104"/>
      <c r="M53" s="96">
        <v>234720</v>
      </c>
      <c r="N53" s="104"/>
      <c r="O53" s="104"/>
      <c r="P53" s="104">
        <f t="shared" si="5"/>
        <v>234720</v>
      </c>
      <c r="Q53" s="347"/>
      <c r="R53" s="16"/>
    </row>
    <row r="54" spans="1:18" s="56" customFormat="1" ht="220.5" customHeight="1">
      <c r="A54" s="202" t="s">
        <v>319</v>
      </c>
      <c r="B54" s="389" t="s">
        <v>321</v>
      </c>
      <c r="C54" s="382" t="s">
        <v>56</v>
      </c>
      <c r="D54" s="92" t="s">
        <v>74</v>
      </c>
      <c r="E54" s="93" t="s">
        <v>27</v>
      </c>
      <c r="F54" s="94" t="s">
        <v>77</v>
      </c>
      <c r="G54" s="94" t="s">
        <v>16</v>
      </c>
      <c r="H54" s="86" t="s">
        <v>320</v>
      </c>
      <c r="I54" s="381" t="s">
        <v>80</v>
      </c>
      <c r="J54" s="87"/>
      <c r="K54" s="104"/>
      <c r="L54" s="104"/>
      <c r="M54" s="96">
        <f>13300</f>
        <v>13300</v>
      </c>
      <c r="N54" s="104"/>
      <c r="O54" s="104"/>
      <c r="P54" s="104">
        <f t="shared" si="5"/>
        <v>13300</v>
      </c>
      <c r="Q54" s="347"/>
      <c r="R54" s="16"/>
    </row>
    <row r="55" spans="1:18" s="56" customFormat="1" ht="220.5" customHeight="1">
      <c r="A55" s="202" t="s">
        <v>322</v>
      </c>
      <c r="B55" s="389" t="s">
        <v>323</v>
      </c>
      <c r="C55" s="388" t="s">
        <v>56</v>
      </c>
      <c r="D55" s="92" t="s">
        <v>74</v>
      </c>
      <c r="E55" s="93" t="s">
        <v>27</v>
      </c>
      <c r="F55" s="94" t="s">
        <v>77</v>
      </c>
      <c r="G55" s="94" t="s">
        <v>16</v>
      </c>
      <c r="H55" s="86" t="s">
        <v>324</v>
      </c>
      <c r="I55" s="386" t="s">
        <v>80</v>
      </c>
      <c r="J55" s="87"/>
      <c r="K55" s="104"/>
      <c r="L55" s="104"/>
      <c r="M55" s="96">
        <f>1329000</f>
        <v>1329000</v>
      </c>
      <c r="N55" s="104"/>
      <c r="O55" s="104"/>
      <c r="P55" s="104">
        <f t="shared" si="5"/>
        <v>1329000</v>
      </c>
      <c r="Q55" s="347"/>
      <c r="R55" s="16"/>
    </row>
    <row r="56" spans="1:18" s="56" customFormat="1" ht="220.5" customHeight="1">
      <c r="A56" s="202" t="s">
        <v>344</v>
      </c>
      <c r="B56" s="407" t="s">
        <v>346</v>
      </c>
      <c r="C56" s="407" t="s">
        <v>56</v>
      </c>
      <c r="D56" s="92" t="s">
        <v>74</v>
      </c>
      <c r="E56" s="93" t="s">
        <v>27</v>
      </c>
      <c r="F56" s="94" t="s">
        <v>77</v>
      </c>
      <c r="G56" s="94" t="s">
        <v>16</v>
      </c>
      <c r="H56" s="86" t="s">
        <v>345</v>
      </c>
      <c r="I56" s="405" t="s">
        <v>80</v>
      </c>
      <c r="J56" s="87"/>
      <c r="K56" s="104"/>
      <c r="L56" s="104"/>
      <c r="M56" s="96">
        <f>3000000-3000000</f>
        <v>0</v>
      </c>
      <c r="N56" s="104"/>
      <c r="O56" s="104"/>
      <c r="P56" s="104">
        <f t="shared" si="5"/>
        <v>0</v>
      </c>
      <c r="Q56" s="347"/>
      <c r="R56" s="16"/>
    </row>
    <row r="57" spans="1:18" ht="27" customHeight="1">
      <c r="A57" s="236"/>
      <c r="B57" s="237" t="s">
        <v>21</v>
      </c>
      <c r="C57" s="238"/>
      <c r="D57" s="237"/>
      <c r="E57" s="237"/>
      <c r="F57" s="239"/>
      <c r="G57" s="240"/>
      <c r="H57" s="241"/>
      <c r="I57" s="237"/>
      <c r="J57" s="242">
        <f>J41+J42+J43+J44+J50</f>
        <v>2929360</v>
      </c>
      <c r="K57" s="242">
        <f>K42+K43+K44</f>
        <v>2058945</v>
      </c>
      <c r="L57" s="242">
        <f>L42+L43+L44</f>
        <v>1683228.3</v>
      </c>
      <c r="M57" s="242">
        <f>M42+M43+M44+M50+M51+M52+M53+M54+M55+M56</f>
        <v>5819744.9800000004</v>
      </c>
      <c r="N57" s="242">
        <f>N42+N43+N44</f>
        <v>1479750</v>
      </c>
      <c r="O57" s="242">
        <f>O42+O43+O44</f>
        <v>1479750</v>
      </c>
      <c r="P57" s="242">
        <f>J57+K57+L57+M57+N57+O57</f>
        <v>15450778.280000001</v>
      </c>
      <c r="Q57" s="238"/>
      <c r="R57" s="8"/>
    </row>
    <row r="58" spans="1:18" ht="33" customHeight="1">
      <c r="A58" s="217"/>
      <c r="B58" s="218" t="s">
        <v>24</v>
      </c>
      <c r="C58" s="218"/>
      <c r="D58" s="218"/>
      <c r="E58" s="218"/>
      <c r="F58" s="219"/>
      <c r="G58" s="220"/>
      <c r="H58" s="221"/>
      <c r="I58" s="218"/>
      <c r="J58" s="222">
        <f t="shared" ref="J58:P58" si="9">J27+J39+J57</f>
        <v>41738870.470000006</v>
      </c>
      <c r="K58" s="222">
        <f t="shared" si="9"/>
        <v>34136465.450000003</v>
      </c>
      <c r="L58" s="222">
        <f t="shared" si="9"/>
        <v>35072850.270000003</v>
      </c>
      <c r="M58" s="222">
        <f t="shared" si="9"/>
        <v>40899338.180000007</v>
      </c>
      <c r="N58" s="222">
        <f t="shared" si="9"/>
        <v>33718876.650000006</v>
      </c>
      <c r="O58" s="222">
        <f t="shared" si="9"/>
        <v>33718876.650000006</v>
      </c>
      <c r="P58" s="222">
        <f t="shared" si="9"/>
        <v>219285277.67000005</v>
      </c>
      <c r="Q58" s="218"/>
      <c r="R58" s="8"/>
    </row>
    <row r="59" spans="1:18">
      <c r="A59" s="103"/>
      <c r="B59" s="125" t="s">
        <v>25</v>
      </c>
      <c r="C59" s="125"/>
      <c r="D59" s="125"/>
      <c r="E59" s="125"/>
      <c r="F59" s="158"/>
      <c r="G59" s="159"/>
      <c r="H59" s="223"/>
      <c r="I59" s="125"/>
      <c r="J59" s="104"/>
      <c r="K59" s="104"/>
      <c r="L59" s="104"/>
      <c r="M59" s="96"/>
      <c r="N59" s="104"/>
      <c r="O59" s="104"/>
      <c r="P59" s="104"/>
      <c r="Q59" s="125"/>
    </row>
    <row r="60" spans="1:18" ht="22.5" customHeight="1">
      <c r="A60" s="103"/>
      <c r="B60" s="125" t="s">
        <v>168</v>
      </c>
      <c r="C60" s="125"/>
      <c r="D60" s="125"/>
      <c r="E60" s="125"/>
      <c r="F60" s="158"/>
      <c r="G60" s="159"/>
      <c r="H60" s="223"/>
      <c r="I60" s="125"/>
      <c r="J60" s="104">
        <v>6181600</v>
      </c>
      <c r="K60" s="104"/>
      <c r="L60" s="104"/>
      <c r="M60" s="96">
        <f>M52</f>
        <v>2112480</v>
      </c>
      <c r="N60" s="104"/>
      <c r="O60" s="104"/>
      <c r="P60" s="104">
        <f>SUM(J60:M60)</f>
        <v>8294080</v>
      </c>
      <c r="Q60" s="125"/>
    </row>
    <row r="61" spans="1:18" ht="26.25" customHeight="1">
      <c r="A61" s="103"/>
      <c r="B61" s="126" t="s">
        <v>169</v>
      </c>
      <c r="C61" s="125"/>
      <c r="D61" s="125"/>
      <c r="E61" s="125"/>
      <c r="F61" s="158"/>
      <c r="G61" s="159"/>
      <c r="H61" s="223"/>
      <c r="I61" s="125"/>
      <c r="J61" s="136">
        <f>556913.66+125691.96+1860000+197569.99</f>
        <v>2740175.6100000003</v>
      </c>
      <c r="K61" s="136">
        <f>K10+K17+K12+K32</f>
        <v>1479370.68</v>
      </c>
      <c r="L61" s="168">
        <f>L32+L34+L35+L10+L17+L12+L19</f>
        <v>1291232.52</v>
      </c>
      <c r="M61" s="293">
        <f>M53+M55+M10+M12+M17+M19+M20+M13+M26</f>
        <v>5258950.1000000006</v>
      </c>
      <c r="N61" s="168"/>
      <c r="O61" s="168"/>
      <c r="P61" s="104">
        <f>SUM(J61:M61)</f>
        <v>10769728.91</v>
      </c>
      <c r="Q61" s="125"/>
    </row>
    <row r="62" spans="1:18" ht="30" customHeight="1">
      <c r="A62" s="103"/>
      <c r="B62" s="125" t="s">
        <v>170</v>
      </c>
      <c r="C62" s="125"/>
      <c r="D62" s="125"/>
      <c r="E62" s="125"/>
      <c r="F62" s="158"/>
      <c r="G62" s="159"/>
      <c r="H62" s="223"/>
      <c r="I62" s="125"/>
      <c r="J62" s="104">
        <f>J58-J61-J60</f>
        <v>32817094.860000007</v>
      </c>
      <c r="K62" s="104">
        <f>K58-K61-K60</f>
        <v>32657094.770000003</v>
      </c>
      <c r="L62" s="104">
        <f>L58-L60-L61</f>
        <v>33781617.75</v>
      </c>
      <c r="M62" s="96">
        <f>M58-M61-M60</f>
        <v>33527908.080000006</v>
      </c>
      <c r="N62" s="104">
        <f>N58</f>
        <v>33718876.650000006</v>
      </c>
      <c r="O62" s="104">
        <f>O58</f>
        <v>33718876.650000006</v>
      </c>
      <c r="P62" s="104">
        <f>SUM(J62:O62)</f>
        <v>200221468.76000002</v>
      </c>
      <c r="Q62" s="125"/>
    </row>
    <row r="63" spans="1:18" ht="30" customHeight="1">
      <c r="A63" s="13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453"/>
      <c r="N63" s="2"/>
      <c r="O63" s="2"/>
      <c r="P63" s="2"/>
      <c r="Q63" s="2"/>
    </row>
    <row r="64" spans="1:18">
      <c r="A64" s="1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453"/>
      <c r="N64" s="2"/>
      <c r="O64" s="2"/>
      <c r="P64" s="2"/>
      <c r="Q64" s="2"/>
      <c r="R64" s="8"/>
    </row>
    <row r="67" spans="1:18" s="11" customFormat="1" ht="31.5" customHeight="1">
      <c r="A67" s="561"/>
      <c r="B67" s="561"/>
      <c r="C67" s="561"/>
      <c r="D67" s="561"/>
      <c r="E67" s="561"/>
      <c r="F67" s="561"/>
      <c r="G67" s="561"/>
      <c r="H67" s="561"/>
      <c r="I67" s="561"/>
      <c r="J67" s="10"/>
      <c r="K67" s="10"/>
      <c r="L67" s="10"/>
      <c r="M67" s="455"/>
      <c r="N67" s="10"/>
      <c r="O67" s="10"/>
      <c r="P67" s="10"/>
    </row>
    <row r="69" spans="1:18">
      <c r="J69" s="8"/>
      <c r="K69" s="8"/>
      <c r="L69" s="8"/>
      <c r="M69" s="456"/>
      <c r="N69" s="8"/>
      <c r="O69" s="8"/>
      <c r="P69" s="8"/>
    </row>
    <row r="70" spans="1:18">
      <c r="J70" s="8"/>
      <c r="K70" s="8"/>
      <c r="L70" s="8"/>
      <c r="M70" s="456"/>
      <c r="N70" s="8"/>
      <c r="O70" s="8"/>
      <c r="P70" s="8"/>
      <c r="R70" s="8"/>
    </row>
  </sheetData>
  <mergeCells count="33">
    <mergeCell ref="M1:Q1"/>
    <mergeCell ref="Q29:Q31"/>
    <mergeCell ref="Q16:Q18"/>
    <mergeCell ref="A16:A21"/>
    <mergeCell ref="B7:P7"/>
    <mergeCell ref="B8:P8"/>
    <mergeCell ref="M2:Q2"/>
    <mergeCell ref="A3:Q3"/>
    <mergeCell ref="A5:A6"/>
    <mergeCell ref="B5:B6"/>
    <mergeCell ref="C5:C6"/>
    <mergeCell ref="D5:I5"/>
    <mergeCell ref="J5:P5"/>
    <mergeCell ref="A9:A15"/>
    <mergeCell ref="Q10:Q12"/>
    <mergeCell ref="F6:H6"/>
    <mergeCell ref="R45:T45"/>
    <mergeCell ref="A41:A49"/>
    <mergeCell ref="B41:B49"/>
    <mergeCell ref="Q41:Q49"/>
    <mergeCell ref="B40:P40"/>
    <mergeCell ref="A36:A38"/>
    <mergeCell ref="B28:P28"/>
    <mergeCell ref="B36:B38"/>
    <mergeCell ref="Q5:Q6"/>
    <mergeCell ref="A67:I67"/>
    <mergeCell ref="Q32:Q34"/>
    <mergeCell ref="B24:B25"/>
    <mergeCell ref="A24:A25"/>
    <mergeCell ref="A29:A31"/>
    <mergeCell ref="B29:B31"/>
    <mergeCell ref="B32:B35"/>
    <mergeCell ref="A32:A35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0" fitToWidth="2" fitToHeight="3" orientation="landscape" r:id="rId1"/>
  <headerFooter alignWithMargins="0"/>
  <rowBreaks count="1" manualBreakCount="1">
    <brk id="23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U86"/>
  <sheetViews>
    <sheetView view="pageBreakPreview" zoomScale="60" zoomScaleNormal="85" workbookViewId="0">
      <selection activeCell="N68" sqref="N68"/>
    </sheetView>
  </sheetViews>
  <sheetFormatPr defaultColWidth="9.140625" defaultRowHeight="15.75" outlineLevelRow="1"/>
  <cols>
    <col min="1" max="1" width="7.7109375" style="12" customWidth="1"/>
    <col min="2" max="2" width="30.85546875" style="9" customWidth="1"/>
    <col min="3" max="3" width="16.140625" style="9" customWidth="1"/>
    <col min="4" max="5" width="9.140625" style="9"/>
    <col min="6" max="6" width="4.5703125" style="9" customWidth="1"/>
    <col min="7" max="7" width="3.140625" style="9" customWidth="1"/>
    <col min="8" max="8" width="12.42578125" style="9" customWidth="1"/>
    <col min="9" max="9" width="9.140625" style="9"/>
    <col min="10" max="10" width="20.140625" style="9" customWidth="1"/>
    <col min="11" max="11" width="21.140625" style="9" customWidth="1"/>
    <col min="12" max="12" width="20.85546875" style="9" customWidth="1"/>
    <col min="13" max="13" width="22" style="441" customWidth="1"/>
    <col min="14" max="14" width="20.5703125" style="40" customWidth="1"/>
    <col min="15" max="15" width="22" style="56" customWidth="1"/>
    <col min="16" max="16" width="22.85546875" style="9" customWidth="1"/>
    <col min="17" max="17" width="26.28515625" style="9" customWidth="1"/>
    <col min="18" max="18" width="33.140625" style="9" customWidth="1"/>
    <col min="19" max="16384" width="9.140625" style="9"/>
  </cols>
  <sheetData>
    <row r="1" spans="1:19" ht="77.25" customHeight="1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3" t="s">
        <v>343</v>
      </c>
      <c r="N1" s="593"/>
      <c r="O1" s="593"/>
      <c r="P1" s="593"/>
      <c r="Q1" s="593"/>
    </row>
    <row r="2" spans="1:19" ht="96.75" customHeight="1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191"/>
      <c r="M2" s="606" t="s">
        <v>296</v>
      </c>
      <c r="N2" s="606"/>
      <c r="O2" s="606"/>
      <c r="P2" s="607"/>
      <c r="Q2" s="607"/>
      <c r="R2" s="1"/>
    </row>
    <row r="3" spans="1:19" ht="39" customHeight="1">
      <c r="A3" s="608" t="s">
        <v>228</v>
      </c>
      <c r="B3" s="608"/>
      <c r="C3" s="608"/>
      <c r="D3" s="608"/>
      <c r="E3" s="608"/>
      <c r="F3" s="608"/>
      <c r="G3" s="608"/>
      <c r="H3" s="608"/>
      <c r="I3" s="608"/>
      <c r="J3" s="608"/>
      <c r="K3" s="608"/>
      <c r="L3" s="608"/>
      <c r="M3" s="608"/>
      <c r="N3" s="608"/>
      <c r="O3" s="608"/>
      <c r="P3" s="608"/>
      <c r="Q3" s="608"/>
    </row>
    <row r="4" spans="1:19">
      <c r="A4" s="299"/>
      <c r="B4" s="305"/>
      <c r="C4" s="305"/>
      <c r="D4" s="305"/>
      <c r="E4" s="302"/>
      <c r="F4" s="303" t="s">
        <v>29</v>
      </c>
      <c r="G4" s="302">
        <v>5</v>
      </c>
      <c r="H4" s="302"/>
      <c r="I4" s="302"/>
      <c r="J4" s="305"/>
      <c r="K4" s="305"/>
      <c r="L4" s="305"/>
      <c r="M4" s="434"/>
      <c r="N4" s="305"/>
      <c r="O4" s="305"/>
      <c r="P4" s="305"/>
      <c r="Q4" s="305"/>
    </row>
    <row r="5" spans="1:19" ht="18" customHeight="1">
      <c r="A5" s="571" t="s">
        <v>3</v>
      </c>
      <c r="B5" s="462" t="s">
        <v>282</v>
      </c>
      <c r="C5" s="560" t="s">
        <v>229</v>
      </c>
      <c r="D5" s="560" t="s">
        <v>4</v>
      </c>
      <c r="E5" s="560"/>
      <c r="F5" s="560"/>
      <c r="G5" s="560"/>
      <c r="H5" s="560"/>
      <c r="I5" s="560"/>
      <c r="J5" s="562" t="s">
        <v>225</v>
      </c>
      <c r="K5" s="563"/>
      <c r="L5" s="563"/>
      <c r="M5" s="563"/>
      <c r="N5" s="563"/>
      <c r="O5" s="563"/>
      <c r="P5" s="564"/>
      <c r="Q5" s="560" t="s">
        <v>5</v>
      </c>
    </row>
    <row r="6" spans="1:19" ht="83.25" customHeight="1">
      <c r="A6" s="571"/>
      <c r="B6" s="463"/>
      <c r="C6" s="560"/>
      <c r="D6" s="306" t="s">
        <v>6</v>
      </c>
      <c r="E6" s="306" t="s">
        <v>7</v>
      </c>
      <c r="F6" s="562" t="s">
        <v>8</v>
      </c>
      <c r="G6" s="563"/>
      <c r="H6" s="564"/>
      <c r="I6" s="306" t="s">
        <v>9</v>
      </c>
      <c r="J6" s="306" t="s">
        <v>10</v>
      </c>
      <c r="K6" s="306" t="s">
        <v>11</v>
      </c>
      <c r="L6" s="306" t="s">
        <v>12</v>
      </c>
      <c r="M6" s="435" t="s">
        <v>159</v>
      </c>
      <c r="N6" s="306" t="s">
        <v>242</v>
      </c>
      <c r="O6" s="306" t="s">
        <v>290</v>
      </c>
      <c r="P6" s="306" t="s">
        <v>292</v>
      </c>
      <c r="Q6" s="560"/>
    </row>
    <row r="7" spans="1:19">
      <c r="A7" s="103"/>
      <c r="B7" s="568" t="s">
        <v>223</v>
      </c>
      <c r="C7" s="569"/>
      <c r="D7" s="569"/>
      <c r="E7" s="569"/>
      <c r="F7" s="569"/>
      <c r="G7" s="569"/>
      <c r="H7" s="569"/>
      <c r="I7" s="569"/>
      <c r="J7" s="569"/>
      <c r="K7" s="569"/>
      <c r="L7" s="569"/>
      <c r="M7" s="569"/>
      <c r="N7" s="569"/>
      <c r="O7" s="569"/>
      <c r="P7" s="570"/>
      <c r="Q7" s="64"/>
    </row>
    <row r="8" spans="1:19" ht="19.5" customHeight="1">
      <c r="A8" s="251" t="s">
        <v>13</v>
      </c>
      <c r="B8" s="597" t="s">
        <v>32</v>
      </c>
      <c r="C8" s="598"/>
      <c r="D8" s="598"/>
      <c r="E8" s="598"/>
      <c r="F8" s="598"/>
      <c r="G8" s="598"/>
      <c r="H8" s="598"/>
      <c r="I8" s="598"/>
      <c r="J8" s="598"/>
      <c r="K8" s="598"/>
      <c r="L8" s="598"/>
      <c r="M8" s="598"/>
      <c r="N8" s="598"/>
      <c r="O8" s="598"/>
      <c r="P8" s="599"/>
      <c r="Q8" s="252"/>
    </row>
    <row r="9" spans="1:19" ht="78.75" customHeight="1">
      <c r="A9" s="521" t="s">
        <v>30</v>
      </c>
      <c r="B9" s="125" t="s">
        <v>125</v>
      </c>
      <c r="C9" s="125" t="s">
        <v>56</v>
      </c>
      <c r="D9" s="103" t="s">
        <v>74</v>
      </c>
      <c r="E9" s="103" t="s">
        <v>75</v>
      </c>
      <c r="F9" s="158" t="s">
        <v>77</v>
      </c>
      <c r="G9" s="159">
        <v>3</v>
      </c>
      <c r="H9" s="79" t="s">
        <v>244</v>
      </c>
      <c r="I9" s="103" t="s">
        <v>78</v>
      </c>
      <c r="J9" s="230">
        <f>8302599.58+430220</f>
        <v>8732819.5800000001</v>
      </c>
      <c r="K9" s="96">
        <f>9237753.86+160237.86+436912.6-646.73-112768.62-50.3</f>
        <v>9721438.6699999981</v>
      </c>
      <c r="L9" s="81">
        <v>10491831.74</v>
      </c>
      <c r="M9" s="96">
        <f>10451508.17-50000</f>
        <v>10401508.17</v>
      </c>
      <c r="N9" s="96">
        <f>M9+50000</f>
        <v>10451508.17</v>
      </c>
      <c r="O9" s="96">
        <f>N9</f>
        <v>10451508.17</v>
      </c>
      <c r="P9" s="96">
        <f>SUM(J9:O9)</f>
        <v>60250614.500000007</v>
      </c>
      <c r="Q9" s="580" t="s">
        <v>88</v>
      </c>
      <c r="R9" s="30" t="s">
        <v>185</v>
      </c>
    </row>
    <row r="10" spans="1:19" s="23" customFormat="1" ht="111.75" customHeight="1">
      <c r="A10" s="576"/>
      <c r="B10" s="125" t="s">
        <v>172</v>
      </c>
      <c r="C10" s="125" t="s">
        <v>56</v>
      </c>
      <c r="D10" s="103" t="s">
        <v>74</v>
      </c>
      <c r="E10" s="79" t="s">
        <v>75</v>
      </c>
      <c r="F10" s="177" t="s">
        <v>77</v>
      </c>
      <c r="G10" s="159">
        <v>3</v>
      </c>
      <c r="H10" s="79" t="s">
        <v>255</v>
      </c>
      <c r="I10" s="79" t="s">
        <v>78</v>
      </c>
      <c r="J10" s="230">
        <v>13524.67</v>
      </c>
      <c r="K10" s="96"/>
      <c r="L10" s="81"/>
      <c r="M10" s="96"/>
      <c r="N10" s="96"/>
      <c r="O10" s="96"/>
      <c r="P10" s="96">
        <f t="shared" ref="P10:P22" si="0">SUM(J10:N10)</f>
        <v>13524.67</v>
      </c>
      <c r="Q10" s="581"/>
    </row>
    <row r="11" spans="1:19" ht="135" customHeight="1">
      <c r="A11" s="576"/>
      <c r="B11" s="125" t="s">
        <v>138</v>
      </c>
      <c r="C11" s="125" t="s">
        <v>56</v>
      </c>
      <c r="D11" s="99" t="s">
        <v>74</v>
      </c>
      <c r="E11" s="100" t="s">
        <v>75</v>
      </c>
      <c r="F11" s="101" t="s">
        <v>77</v>
      </c>
      <c r="G11" s="102">
        <v>3</v>
      </c>
      <c r="H11" s="100" t="s">
        <v>252</v>
      </c>
      <c r="I11" s="100" t="s">
        <v>78</v>
      </c>
      <c r="J11" s="230">
        <f>316171.33+63431.05</f>
        <v>379602.38</v>
      </c>
      <c r="K11" s="81">
        <f>307252.05+64672.92-141460.39</f>
        <v>230464.57999999996</v>
      </c>
      <c r="L11" s="81">
        <v>37968.1</v>
      </c>
      <c r="M11" s="96">
        <f>35167.15+30004.47</f>
        <v>65171.62</v>
      </c>
      <c r="N11" s="96"/>
      <c r="O11" s="96"/>
      <c r="P11" s="96">
        <f t="shared" si="0"/>
        <v>713206.67999999993</v>
      </c>
      <c r="Q11" s="605"/>
    </row>
    <row r="12" spans="1:19" ht="149.25" customHeight="1">
      <c r="A12" s="576"/>
      <c r="B12" s="125" t="s">
        <v>139</v>
      </c>
      <c r="C12" s="125" t="s">
        <v>56</v>
      </c>
      <c r="D12" s="99" t="s">
        <v>74</v>
      </c>
      <c r="E12" s="100" t="s">
        <v>75</v>
      </c>
      <c r="F12" s="101" t="s">
        <v>77</v>
      </c>
      <c r="G12" s="102">
        <v>3</v>
      </c>
      <c r="H12" s="100" t="s">
        <v>253</v>
      </c>
      <c r="I12" s="100" t="s">
        <v>78</v>
      </c>
      <c r="J12" s="160">
        <v>4111.0200000000004</v>
      </c>
      <c r="K12" s="104">
        <f>1972.92+646.73+50.3</f>
        <v>2669.9500000000003</v>
      </c>
      <c r="L12" s="81">
        <v>407.53</v>
      </c>
      <c r="M12" s="96"/>
      <c r="N12" s="104"/>
      <c r="O12" s="104"/>
      <c r="P12" s="96">
        <f t="shared" si="0"/>
        <v>7188.5000000000009</v>
      </c>
      <c r="Q12" s="557"/>
    </row>
    <row r="13" spans="1:19" ht="66.75" customHeight="1">
      <c r="A13" s="522"/>
      <c r="B13" s="125" t="s">
        <v>140</v>
      </c>
      <c r="C13" s="126" t="s">
        <v>56</v>
      </c>
      <c r="D13" s="100" t="s">
        <v>74</v>
      </c>
      <c r="E13" s="100" t="s">
        <v>75</v>
      </c>
      <c r="F13" s="101" t="s">
        <v>77</v>
      </c>
      <c r="G13" s="102">
        <v>3</v>
      </c>
      <c r="H13" s="100" t="s">
        <v>259</v>
      </c>
      <c r="I13" s="100" t="s">
        <v>78</v>
      </c>
      <c r="J13" s="160">
        <f>141865.92+65974.35</f>
        <v>207840.27000000002</v>
      </c>
      <c r="K13" s="104">
        <f>97532.69+54352</f>
        <v>151884.69</v>
      </c>
      <c r="L13" s="81">
        <v>229997.2</v>
      </c>
      <c r="M13" s="96">
        <f>303592.93-27055.88</f>
        <v>276537.05</v>
      </c>
      <c r="N13" s="104"/>
      <c r="O13" s="104"/>
      <c r="P13" s="96">
        <f t="shared" si="0"/>
        <v>866259.21</v>
      </c>
      <c r="Q13" s="105"/>
      <c r="R13" s="9" t="s">
        <v>104</v>
      </c>
    </row>
    <row r="14" spans="1:19" s="56" customFormat="1" ht="188.25" customHeight="1">
      <c r="A14" s="398"/>
      <c r="B14" s="399" t="s">
        <v>342</v>
      </c>
      <c r="C14" s="126" t="s">
        <v>56</v>
      </c>
      <c r="D14" s="100" t="s">
        <v>74</v>
      </c>
      <c r="E14" s="100" t="s">
        <v>75</v>
      </c>
      <c r="F14" s="101" t="s">
        <v>77</v>
      </c>
      <c r="G14" s="102">
        <v>3</v>
      </c>
      <c r="H14" s="100" t="s">
        <v>340</v>
      </c>
      <c r="I14" s="100" t="s">
        <v>78</v>
      </c>
      <c r="J14" s="160"/>
      <c r="K14" s="104"/>
      <c r="L14" s="81"/>
      <c r="M14" s="96">
        <f>376572.47</f>
        <v>376572.47</v>
      </c>
      <c r="N14" s="104"/>
      <c r="O14" s="104"/>
      <c r="P14" s="96">
        <f t="shared" si="0"/>
        <v>376572.47</v>
      </c>
      <c r="Q14" s="400"/>
    </row>
    <row r="15" spans="1:19" ht="161.25" customHeight="1">
      <c r="A15" s="103" t="s">
        <v>14</v>
      </c>
      <c r="B15" s="399" t="s">
        <v>33</v>
      </c>
      <c r="C15" s="125" t="s">
        <v>56</v>
      </c>
      <c r="D15" s="103" t="s">
        <v>74</v>
      </c>
      <c r="E15" s="103" t="s">
        <v>75</v>
      </c>
      <c r="F15" s="158" t="s">
        <v>77</v>
      </c>
      <c r="G15" s="159">
        <v>3</v>
      </c>
      <c r="H15" s="111" t="s">
        <v>264</v>
      </c>
      <c r="I15" s="103" t="s">
        <v>80</v>
      </c>
      <c r="J15" s="160"/>
      <c r="K15" s="104">
        <v>202950</v>
      </c>
      <c r="L15" s="81"/>
      <c r="M15" s="96"/>
      <c r="N15" s="104"/>
      <c r="O15" s="104"/>
      <c r="P15" s="96">
        <f t="shared" si="0"/>
        <v>202950</v>
      </c>
      <c r="Q15" s="234" t="s">
        <v>92</v>
      </c>
      <c r="R15" s="33" t="s">
        <v>206</v>
      </c>
      <c r="S15" s="9">
        <f>K15*0.01</f>
        <v>2029.5</v>
      </c>
    </row>
    <row r="16" spans="1:19" ht="65.25" customHeight="1">
      <c r="A16" s="103" t="s">
        <v>57</v>
      </c>
      <c r="B16" s="106" t="s">
        <v>115</v>
      </c>
      <c r="C16" s="125" t="s">
        <v>56</v>
      </c>
      <c r="D16" s="73" t="s">
        <v>74</v>
      </c>
      <c r="E16" s="73" t="s">
        <v>75</v>
      </c>
      <c r="F16" s="74" t="s">
        <v>77</v>
      </c>
      <c r="G16" s="110">
        <v>3</v>
      </c>
      <c r="H16" s="111" t="s">
        <v>260</v>
      </c>
      <c r="I16" s="73" t="s">
        <v>80</v>
      </c>
      <c r="J16" s="160">
        <v>0</v>
      </c>
      <c r="K16" s="104"/>
      <c r="L16" s="81">
        <v>0</v>
      </c>
      <c r="M16" s="96"/>
      <c r="N16" s="104"/>
      <c r="O16" s="104"/>
      <c r="P16" s="96">
        <f t="shared" si="0"/>
        <v>0</v>
      </c>
      <c r="Q16" s="234" t="s">
        <v>106</v>
      </c>
      <c r="R16" s="9" t="s">
        <v>104</v>
      </c>
    </row>
    <row r="17" spans="1:21" ht="87.75" customHeight="1">
      <c r="A17" s="103" t="s">
        <v>103</v>
      </c>
      <c r="B17" s="106" t="s">
        <v>34</v>
      </c>
      <c r="C17" s="125" t="s">
        <v>56</v>
      </c>
      <c r="D17" s="103" t="s">
        <v>74</v>
      </c>
      <c r="E17" s="103" t="s">
        <v>27</v>
      </c>
      <c r="F17" s="158" t="s">
        <v>77</v>
      </c>
      <c r="G17" s="159">
        <v>3</v>
      </c>
      <c r="H17" s="111" t="s">
        <v>265</v>
      </c>
      <c r="I17" s="103" t="s">
        <v>80</v>
      </c>
      <c r="J17" s="160">
        <f>300+62924</f>
        <v>63224</v>
      </c>
      <c r="K17" s="104"/>
      <c r="L17" s="81">
        <v>0</v>
      </c>
      <c r="M17" s="96"/>
      <c r="N17" s="104"/>
      <c r="O17" s="104"/>
      <c r="P17" s="96">
        <f t="shared" si="0"/>
        <v>63224</v>
      </c>
      <c r="Q17" s="234" t="s">
        <v>93</v>
      </c>
      <c r="R17" s="9">
        <f>J17*0.01</f>
        <v>632.24</v>
      </c>
      <c r="S17" s="9">
        <f>K17*0.01</f>
        <v>0</v>
      </c>
      <c r="T17" s="604" t="s">
        <v>155</v>
      </c>
      <c r="U17" s="604"/>
    </row>
    <row r="18" spans="1:21" s="33" customFormat="1" ht="193.5" customHeight="1">
      <c r="A18" s="103" t="s">
        <v>160</v>
      </c>
      <c r="B18" s="253" t="s">
        <v>207</v>
      </c>
      <c r="C18" s="125" t="s">
        <v>56</v>
      </c>
      <c r="D18" s="103" t="s">
        <v>74</v>
      </c>
      <c r="E18" s="103" t="s">
        <v>75</v>
      </c>
      <c r="F18" s="158" t="s">
        <v>77</v>
      </c>
      <c r="G18" s="159">
        <v>3</v>
      </c>
      <c r="H18" s="111" t="s">
        <v>266</v>
      </c>
      <c r="I18" s="103" t="s">
        <v>80</v>
      </c>
      <c r="J18" s="160"/>
      <c r="K18" s="104">
        <v>2050</v>
      </c>
      <c r="L18" s="81"/>
      <c r="M18" s="96"/>
      <c r="N18" s="104"/>
      <c r="O18" s="104"/>
      <c r="P18" s="96">
        <f t="shared" si="0"/>
        <v>2050</v>
      </c>
      <c r="Q18" s="234" t="s">
        <v>92</v>
      </c>
      <c r="R18" s="33" t="s">
        <v>208</v>
      </c>
      <c r="S18" s="33">
        <f>K18*0.01</f>
        <v>20.5</v>
      </c>
    </row>
    <row r="19" spans="1:21" s="33" customFormat="1" ht="87.75" customHeight="1">
      <c r="A19" s="103" t="s">
        <v>173</v>
      </c>
      <c r="B19" s="106" t="s">
        <v>34</v>
      </c>
      <c r="C19" s="125" t="s">
        <v>56</v>
      </c>
      <c r="D19" s="103" t="s">
        <v>74</v>
      </c>
      <c r="E19" s="103" t="s">
        <v>27</v>
      </c>
      <c r="F19" s="158" t="s">
        <v>77</v>
      </c>
      <c r="G19" s="159">
        <v>3</v>
      </c>
      <c r="H19" s="111" t="s">
        <v>267</v>
      </c>
      <c r="I19" s="103" t="s">
        <v>80</v>
      </c>
      <c r="J19" s="160"/>
      <c r="K19" s="104">
        <v>54000</v>
      </c>
      <c r="L19" s="81">
        <v>0</v>
      </c>
      <c r="M19" s="96"/>
      <c r="N19" s="104"/>
      <c r="O19" s="104"/>
      <c r="P19" s="96">
        <f t="shared" si="0"/>
        <v>54000</v>
      </c>
      <c r="Q19" s="234" t="s">
        <v>93</v>
      </c>
      <c r="R19" s="33" t="s">
        <v>215</v>
      </c>
      <c r="T19" s="604"/>
      <c r="U19" s="604"/>
    </row>
    <row r="20" spans="1:21" s="33" customFormat="1" ht="87.75" customHeight="1">
      <c r="A20" s="103" t="s">
        <v>197</v>
      </c>
      <c r="B20" s="254" t="s">
        <v>216</v>
      </c>
      <c r="C20" s="125" t="s">
        <v>56</v>
      </c>
      <c r="D20" s="103" t="s">
        <v>74</v>
      </c>
      <c r="E20" s="103" t="s">
        <v>27</v>
      </c>
      <c r="F20" s="158" t="s">
        <v>77</v>
      </c>
      <c r="G20" s="159">
        <v>3</v>
      </c>
      <c r="H20" s="111" t="s">
        <v>265</v>
      </c>
      <c r="I20" s="103" t="s">
        <v>80</v>
      </c>
      <c r="J20" s="160"/>
      <c r="K20" s="104">
        <v>546</v>
      </c>
      <c r="L20" s="81">
        <v>0</v>
      </c>
      <c r="M20" s="96"/>
      <c r="N20" s="104"/>
      <c r="O20" s="104"/>
      <c r="P20" s="96">
        <f t="shared" si="0"/>
        <v>546</v>
      </c>
      <c r="Q20" s="234" t="s">
        <v>93</v>
      </c>
      <c r="R20" s="33" t="s">
        <v>215</v>
      </c>
      <c r="T20" s="604"/>
      <c r="U20" s="604"/>
    </row>
    <row r="21" spans="1:21" s="52" customFormat="1" ht="210.75" customHeight="1">
      <c r="A21" s="103" t="s">
        <v>231</v>
      </c>
      <c r="B21" s="157" t="s">
        <v>285</v>
      </c>
      <c r="C21" s="125" t="s">
        <v>56</v>
      </c>
      <c r="D21" s="103" t="s">
        <v>74</v>
      </c>
      <c r="E21" s="103" t="s">
        <v>75</v>
      </c>
      <c r="F21" s="158" t="s">
        <v>77</v>
      </c>
      <c r="G21" s="159">
        <v>3</v>
      </c>
      <c r="H21" s="111" t="s">
        <v>284</v>
      </c>
      <c r="I21" s="103" t="s">
        <v>80</v>
      </c>
      <c r="J21" s="160"/>
      <c r="K21" s="104"/>
      <c r="L21" s="96">
        <v>35360</v>
      </c>
      <c r="M21" s="96"/>
      <c r="N21" s="104"/>
      <c r="O21" s="104"/>
      <c r="P21" s="96">
        <f t="shared" si="0"/>
        <v>35360</v>
      </c>
      <c r="Q21" s="234"/>
      <c r="T21" s="53"/>
      <c r="U21" s="53"/>
    </row>
    <row r="22" spans="1:21" s="52" customFormat="1" ht="222.75" customHeight="1">
      <c r="A22" s="103" t="s">
        <v>279</v>
      </c>
      <c r="B22" s="157" t="s">
        <v>286</v>
      </c>
      <c r="C22" s="125" t="s">
        <v>56</v>
      </c>
      <c r="D22" s="103" t="s">
        <v>74</v>
      </c>
      <c r="E22" s="103" t="s">
        <v>75</v>
      </c>
      <c r="F22" s="158" t="s">
        <v>77</v>
      </c>
      <c r="G22" s="159">
        <v>3</v>
      </c>
      <c r="H22" s="111" t="s">
        <v>288</v>
      </c>
      <c r="I22" s="103" t="s">
        <v>80</v>
      </c>
      <c r="J22" s="160"/>
      <c r="K22" s="104"/>
      <c r="L22" s="96">
        <v>721.7</v>
      </c>
      <c r="M22" s="96"/>
      <c r="N22" s="104"/>
      <c r="O22" s="104"/>
      <c r="P22" s="96">
        <f t="shared" si="0"/>
        <v>721.7</v>
      </c>
      <c r="Q22" s="234"/>
      <c r="T22" s="53"/>
      <c r="U22" s="53"/>
    </row>
    <row r="23" spans="1:21" ht="30.75" customHeight="1">
      <c r="A23" s="236"/>
      <c r="B23" s="237" t="s">
        <v>15</v>
      </c>
      <c r="C23" s="238"/>
      <c r="D23" s="237"/>
      <c r="E23" s="237"/>
      <c r="F23" s="239"/>
      <c r="G23" s="240"/>
      <c r="H23" s="241"/>
      <c r="I23" s="237"/>
      <c r="J23" s="242">
        <f>SUM(J9:J17)</f>
        <v>9401121.9199999999</v>
      </c>
      <c r="K23" s="242">
        <f>SUM(K9:K20)</f>
        <v>10366003.889999997</v>
      </c>
      <c r="L23" s="242">
        <f>SUM(L9:L22)</f>
        <v>10796286.269999998</v>
      </c>
      <c r="M23" s="242">
        <f>SUM(M9:M17)</f>
        <v>11119789.310000001</v>
      </c>
      <c r="N23" s="242">
        <f>SUM(N9:N17)</f>
        <v>10451508.17</v>
      </c>
      <c r="O23" s="242">
        <f>SUM(O9:O17)</f>
        <v>10451508.17</v>
      </c>
      <c r="P23" s="242">
        <f>J23+K23+L23+M23+N23+O23</f>
        <v>62586217.729999997</v>
      </c>
      <c r="Q23" s="238"/>
      <c r="R23" s="8"/>
    </row>
    <row r="24" spans="1:21" ht="21" customHeight="1">
      <c r="A24" s="251" t="s">
        <v>16</v>
      </c>
      <c r="B24" s="597" t="s">
        <v>35</v>
      </c>
      <c r="C24" s="598"/>
      <c r="D24" s="598"/>
      <c r="E24" s="598"/>
      <c r="F24" s="598"/>
      <c r="G24" s="598"/>
      <c r="H24" s="598"/>
      <c r="I24" s="598"/>
      <c r="J24" s="598"/>
      <c r="K24" s="598"/>
      <c r="L24" s="598"/>
      <c r="M24" s="598"/>
      <c r="N24" s="598"/>
      <c r="O24" s="598"/>
      <c r="P24" s="599"/>
      <c r="Q24" s="255"/>
    </row>
    <row r="25" spans="1:21" ht="167.25" customHeight="1">
      <c r="A25" s="256" t="s">
        <v>17</v>
      </c>
      <c r="B25" s="157" t="s">
        <v>36</v>
      </c>
      <c r="C25" s="106" t="s">
        <v>56</v>
      </c>
      <c r="D25" s="103"/>
      <c r="E25" s="103"/>
      <c r="F25" s="158"/>
      <c r="G25" s="159"/>
      <c r="H25" s="79"/>
      <c r="I25" s="103"/>
      <c r="J25" s="168"/>
      <c r="K25" s="168"/>
      <c r="L25" s="168"/>
      <c r="M25" s="294"/>
      <c r="N25" s="168"/>
      <c r="O25" s="168"/>
      <c r="P25" s="168">
        <f>SUM(J25:L25)</f>
        <v>0</v>
      </c>
      <c r="Q25" s="234" t="s">
        <v>94</v>
      </c>
      <c r="R25" s="15"/>
    </row>
    <row r="26" spans="1:21" ht="27" customHeight="1">
      <c r="A26" s="236"/>
      <c r="B26" s="237" t="s">
        <v>18</v>
      </c>
      <c r="C26" s="238"/>
      <c r="D26" s="237"/>
      <c r="E26" s="237"/>
      <c r="F26" s="239"/>
      <c r="G26" s="240"/>
      <c r="H26" s="241"/>
      <c r="I26" s="237"/>
      <c r="J26" s="257">
        <f>SUM(J25:J25)</f>
        <v>0</v>
      </c>
      <c r="K26" s="257">
        <f>SUM(K25:K25)</f>
        <v>0</v>
      </c>
      <c r="L26" s="257">
        <f>SUM(L25:L25)</f>
        <v>0</v>
      </c>
      <c r="M26" s="257">
        <f t="shared" ref="M26:N26" si="1">SUM(M25:M25)</f>
        <v>0</v>
      </c>
      <c r="N26" s="257">
        <f t="shared" si="1"/>
        <v>0</v>
      </c>
      <c r="O26" s="257"/>
      <c r="P26" s="257">
        <f>SUM(P25:P25)</f>
        <v>0</v>
      </c>
      <c r="Q26" s="238"/>
      <c r="R26" s="8"/>
    </row>
    <row r="27" spans="1:21" ht="22.5" customHeight="1">
      <c r="A27" s="251" t="s">
        <v>19</v>
      </c>
      <c r="B27" s="597" t="s">
        <v>37</v>
      </c>
      <c r="C27" s="598"/>
      <c r="D27" s="598"/>
      <c r="E27" s="598"/>
      <c r="F27" s="598"/>
      <c r="G27" s="598"/>
      <c r="H27" s="598"/>
      <c r="I27" s="598"/>
      <c r="J27" s="598"/>
      <c r="K27" s="598"/>
      <c r="L27" s="598"/>
      <c r="M27" s="598"/>
      <c r="N27" s="598"/>
      <c r="O27" s="598"/>
      <c r="P27" s="599"/>
      <c r="Q27" s="255"/>
    </row>
    <row r="28" spans="1:21" ht="39.75" customHeight="1">
      <c r="A28" s="521" t="s">
        <v>20</v>
      </c>
      <c r="B28" s="572" t="s">
        <v>131</v>
      </c>
      <c r="C28" s="106" t="s">
        <v>56</v>
      </c>
      <c r="D28" s="103" t="s">
        <v>74</v>
      </c>
      <c r="E28" s="103" t="s">
        <v>27</v>
      </c>
      <c r="F28" s="158" t="s">
        <v>77</v>
      </c>
      <c r="G28" s="159">
        <v>3</v>
      </c>
      <c r="H28" s="111" t="s">
        <v>268</v>
      </c>
      <c r="I28" s="103" t="s">
        <v>80</v>
      </c>
      <c r="J28" s="244">
        <f>16000+4000</f>
        <v>20000</v>
      </c>
      <c r="K28" s="136">
        <v>0</v>
      </c>
      <c r="L28" s="136">
        <v>0</v>
      </c>
      <c r="M28" s="283">
        <v>0</v>
      </c>
      <c r="N28" s="136">
        <v>0</v>
      </c>
      <c r="O28" s="136"/>
      <c r="P28" s="136">
        <f t="shared" ref="P28:P33" si="2">SUM(J28:M28)</f>
        <v>20000</v>
      </c>
      <c r="Q28" s="580" t="s">
        <v>89</v>
      </c>
      <c r="R28" s="16" t="s">
        <v>101</v>
      </c>
    </row>
    <row r="29" spans="1:21" ht="39.75" customHeight="1">
      <c r="A29" s="522"/>
      <c r="B29" s="573"/>
      <c r="C29" s="106" t="s">
        <v>56</v>
      </c>
      <c r="D29" s="99" t="s">
        <v>74</v>
      </c>
      <c r="E29" s="100" t="s">
        <v>27</v>
      </c>
      <c r="F29" s="101" t="s">
        <v>77</v>
      </c>
      <c r="G29" s="102">
        <v>3</v>
      </c>
      <c r="H29" s="111" t="s">
        <v>268</v>
      </c>
      <c r="I29" s="103" t="s">
        <v>28</v>
      </c>
      <c r="J29" s="244">
        <f>15000+3880</f>
        <v>18880</v>
      </c>
      <c r="K29" s="136">
        <v>0</v>
      </c>
      <c r="L29" s="136">
        <v>0</v>
      </c>
      <c r="M29" s="283">
        <v>0</v>
      </c>
      <c r="N29" s="136">
        <v>0</v>
      </c>
      <c r="O29" s="136"/>
      <c r="P29" s="136">
        <f t="shared" si="2"/>
        <v>18880</v>
      </c>
      <c r="Q29" s="582"/>
      <c r="R29" s="16" t="s">
        <v>100</v>
      </c>
    </row>
    <row r="30" spans="1:21" ht="62.25" customHeight="1">
      <c r="A30" s="521" t="s">
        <v>98</v>
      </c>
      <c r="B30" s="572" t="s">
        <v>116</v>
      </c>
      <c r="C30" s="106" t="s">
        <v>56</v>
      </c>
      <c r="D30" s="92" t="s">
        <v>74</v>
      </c>
      <c r="E30" s="93" t="s">
        <v>27</v>
      </c>
      <c r="F30" s="94" t="s">
        <v>77</v>
      </c>
      <c r="G30" s="95">
        <v>3</v>
      </c>
      <c r="H30" s="111" t="s">
        <v>269</v>
      </c>
      <c r="I30" s="73" t="s">
        <v>80</v>
      </c>
      <c r="J30" s="244">
        <v>90000</v>
      </c>
      <c r="K30" s="136">
        <v>0</v>
      </c>
      <c r="L30" s="136">
        <v>0</v>
      </c>
      <c r="M30" s="283">
        <v>0</v>
      </c>
      <c r="N30" s="136">
        <v>0</v>
      </c>
      <c r="O30" s="136"/>
      <c r="P30" s="136">
        <f t="shared" si="2"/>
        <v>90000</v>
      </c>
      <c r="Q30" s="580" t="s">
        <v>107</v>
      </c>
      <c r="R30" s="16" t="s">
        <v>101</v>
      </c>
    </row>
    <row r="31" spans="1:21" ht="64.5" customHeight="1">
      <c r="A31" s="522"/>
      <c r="B31" s="573"/>
      <c r="C31" s="106" t="s">
        <v>56</v>
      </c>
      <c r="D31" s="92" t="s">
        <v>74</v>
      </c>
      <c r="E31" s="93" t="s">
        <v>27</v>
      </c>
      <c r="F31" s="94" t="s">
        <v>77</v>
      </c>
      <c r="G31" s="95">
        <v>3</v>
      </c>
      <c r="H31" s="114" t="s">
        <v>269</v>
      </c>
      <c r="I31" s="73" t="s">
        <v>28</v>
      </c>
      <c r="J31" s="244">
        <v>0</v>
      </c>
      <c r="K31" s="136">
        <v>0</v>
      </c>
      <c r="L31" s="136">
        <v>0</v>
      </c>
      <c r="M31" s="283">
        <v>0</v>
      </c>
      <c r="N31" s="136">
        <v>0</v>
      </c>
      <c r="O31" s="136"/>
      <c r="P31" s="136">
        <f t="shared" si="2"/>
        <v>0</v>
      </c>
      <c r="Q31" s="582"/>
      <c r="R31" s="16" t="s">
        <v>100</v>
      </c>
    </row>
    <row r="32" spans="1:21" ht="43.5" customHeight="1">
      <c r="A32" s="521" t="s">
        <v>300</v>
      </c>
      <c r="B32" s="572" t="s">
        <v>132</v>
      </c>
      <c r="C32" s="106" t="s">
        <v>56</v>
      </c>
      <c r="D32" s="92" t="s">
        <v>74</v>
      </c>
      <c r="E32" s="93" t="s">
        <v>27</v>
      </c>
      <c r="F32" s="94" t="s">
        <v>77</v>
      </c>
      <c r="G32" s="95">
        <v>3</v>
      </c>
      <c r="H32" s="114" t="s">
        <v>270</v>
      </c>
      <c r="I32" s="73" t="s">
        <v>28</v>
      </c>
      <c r="J32" s="244">
        <v>75500</v>
      </c>
      <c r="K32" s="136">
        <v>0</v>
      </c>
      <c r="L32" s="136">
        <v>0</v>
      </c>
      <c r="M32" s="283">
        <v>0</v>
      </c>
      <c r="N32" s="136">
        <v>0</v>
      </c>
      <c r="O32" s="136"/>
      <c r="P32" s="136">
        <f t="shared" si="2"/>
        <v>75500</v>
      </c>
      <c r="Q32" s="229"/>
      <c r="R32" s="16" t="s">
        <v>100</v>
      </c>
    </row>
    <row r="33" spans="1:19" ht="38.25" customHeight="1">
      <c r="A33" s="522"/>
      <c r="B33" s="573"/>
      <c r="C33" s="206" t="s">
        <v>56</v>
      </c>
      <c r="D33" s="232" t="s">
        <v>74</v>
      </c>
      <c r="E33" s="232" t="s">
        <v>27</v>
      </c>
      <c r="F33" s="233" t="s">
        <v>77</v>
      </c>
      <c r="G33" s="258">
        <v>3</v>
      </c>
      <c r="H33" s="232" t="s">
        <v>270</v>
      </c>
      <c r="I33" s="232" t="s">
        <v>80</v>
      </c>
      <c r="J33" s="244">
        <v>80000</v>
      </c>
      <c r="K33" s="136">
        <v>0</v>
      </c>
      <c r="L33" s="136">
        <v>0</v>
      </c>
      <c r="M33" s="283">
        <v>0</v>
      </c>
      <c r="N33" s="136">
        <v>0</v>
      </c>
      <c r="O33" s="136"/>
      <c r="P33" s="136">
        <f t="shared" si="2"/>
        <v>80000</v>
      </c>
      <c r="Q33" s="229"/>
      <c r="R33" s="16" t="s">
        <v>101</v>
      </c>
    </row>
    <row r="34" spans="1:19" ht="93.75" customHeight="1">
      <c r="A34" s="256" t="s">
        <v>315</v>
      </c>
      <c r="B34" s="259" t="s">
        <v>117</v>
      </c>
      <c r="C34" s="106" t="s">
        <v>56</v>
      </c>
      <c r="D34" s="92" t="s">
        <v>74</v>
      </c>
      <c r="E34" s="93" t="s">
        <v>26</v>
      </c>
      <c r="F34" s="94" t="s">
        <v>77</v>
      </c>
      <c r="G34" s="95">
        <v>3</v>
      </c>
      <c r="H34" s="111" t="s">
        <v>271</v>
      </c>
      <c r="I34" s="73" t="s">
        <v>28</v>
      </c>
      <c r="J34" s="244">
        <v>250000</v>
      </c>
      <c r="K34" s="136">
        <f>250000-20000</f>
        <v>230000</v>
      </c>
      <c r="L34" s="136">
        <f>124500+20000</f>
        <v>144500</v>
      </c>
      <c r="M34" s="283">
        <v>167200</v>
      </c>
      <c r="N34" s="136">
        <f>M34</f>
        <v>167200</v>
      </c>
      <c r="O34" s="136">
        <f>N34</f>
        <v>167200</v>
      </c>
      <c r="P34" s="136">
        <f>SUM(J34:O34)</f>
        <v>1126100</v>
      </c>
      <c r="Q34" s="229"/>
      <c r="R34" s="16" t="s">
        <v>102</v>
      </c>
    </row>
    <row r="35" spans="1:19" s="56" customFormat="1" ht="144.6" hidden="1" customHeight="1">
      <c r="A35" s="414" t="s">
        <v>318</v>
      </c>
      <c r="B35" s="415" t="s">
        <v>351</v>
      </c>
      <c r="C35" s="413" t="s">
        <v>56</v>
      </c>
      <c r="D35" s="76" t="s">
        <v>74</v>
      </c>
      <c r="E35" s="83" t="s">
        <v>27</v>
      </c>
      <c r="F35" s="84" t="s">
        <v>77</v>
      </c>
      <c r="G35" s="78">
        <v>3</v>
      </c>
      <c r="H35" s="83" t="s">
        <v>305</v>
      </c>
      <c r="I35" s="76" t="s">
        <v>28</v>
      </c>
      <c r="J35" s="244">
        <v>0</v>
      </c>
      <c r="K35" s="136">
        <v>0</v>
      </c>
      <c r="L35" s="136">
        <v>0</v>
      </c>
      <c r="M35" s="283">
        <v>0</v>
      </c>
      <c r="N35" s="136">
        <v>0</v>
      </c>
      <c r="O35" s="136">
        <v>0</v>
      </c>
      <c r="P35" s="136">
        <f>SUM(J35:O35)</f>
        <v>0</v>
      </c>
      <c r="Q35" s="416"/>
      <c r="R35" s="16"/>
    </row>
    <row r="36" spans="1:19" s="56" customFormat="1" ht="155.44999999999999" hidden="1" customHeight="1">
      <c r="A36" s="414" t="s">
        <v>319</v>
      </c>
      <c r="B36" s="415" t="s">
        <v>349</v>
      </c>
      <c r="C36" s="413" t="s">
        <v>56</v>
      </c>
      <c r="D36" s="76" t="s">
        <v>74</v>
      </c>
      <c r="E36" s="83" t="s">
        <v>27</v>
      </c>
      <c r="F36" s="84" t="s">
        <v>77</v>
      </c>
      <c r="G36" s="78">
        <v>3</v>
      </c>
      <c r="H36" s="83" t="s">
        <v>350</v>
      </c>
      <c r="I36" s="76" t="s">
        <v>28</v>
      </c>
      <c r="J36" s="244">
        <v>0</v>
      </c>
      <c r="K36" s="136">
        <v>0</v>
      </c>
      <c r="L36" s="136">
        <v>0</v>
      </c>
      <c r="M36" s="283">
        <v>0</v>
      </c>
      <c r="N36" s="136">
        <v>0</v>
      </c>
      <c r="O36" s="136">
        <v>0</v>
      </c>
      <c r="P36" s="136">
        <f>SUM(J36:O36)</f>
        <v>0</v>
      </c>
      <c r="Q36" s="416"/>
      <c r="R36" s="16"/>
    </row>
    <row r="37" spans="1:19" ht="27.75" customHeight="1">
      <c r="A37" s="236"/>
      <c r="B37" s="237" t="s">
        <v>21</v>
      </c>
      <c r="C37" s="238"/>
      <c r="D37" s="237"/>
      <c r="E37" s="237"/>
      <c r="F37" s="239"/>
      <c r="G37" s="240"/>
      <c r="H37" s="241"/>
      <c r="I37" s="237"/>
      <c r="J37" s="250">
        <f>SUM(J28:J36)</f>
        <v>534380</v>
      </c>
      <c r="K37" s="250">
        <f>SUM(K28:K36)</f>
        <v>230000</v>
      </c>
      <c r="L37" s="250">
        <f>SUM(L28:L36)</f>
        <v>144500</v>
      </c>
      <c r="M37" s="250">
        <f>SUM(M28:M36)</f>
        <v>167200</v>
      </c>
      <c r="N37" s="250">
        <f>SUM(N28:N36)</f>
        <v>167200</v>
      </c>
      <c r="O37" s="250">
        <f>SUM(O28:O34)</f>
        <v>167200</v>
      </c>
      <c r="P37" s="250">
        <f>SUM(P28:P35)</f>
        <v>1410480</v>
      </c>
      <c r="Q37" s="238"/>
      <c r="R37" s="8"/>
    </row>
    <row r="38" spans="1:19" ht="23.25" customHeight="1">
      <c r="A38" s="251" t="s">
        <v>22</v>
      </c>
      <c r="B38" s="597" t="s">
        <v>38</v>
      </c>
      <c r="C38" s="598"/>
      <c r="D38" s="598"/>
      <c r="E38" s="598"/>
      <c r="F38" s="598"/>
      <c r="G38" s="598"/>
      <c r="H38" s="598"/>
      <c r="I38" s="598"/>
      <c r="J38" s="598"/>
      <c r="K38" s="598"/>
      <c r="L38" s="598"/>
      <c r="M38" s="598"/>
      <c r="N38" s="598"/>
      <c r="O38" s="598"/>
      <c r="P38" s="599"/>
      <c r="Q38" s="260"/>
    </row>
    <row r="39" spans="1:19" ht="70.5" customHeight="1">
      <c r="A39" s="521" t="s">
        <v>31</v>
      </c>
      <c r="B39" s="572" t="s">
        <v>135</v>
      </c>
      <c r="C39" s="519" t="s">
        <v>56</v>
      </c>
      <c r="D39" s="73" t="s">
        <v>74</v>
      </c>
      <c r="E39" s="73" t="s">
        <v>75</v>
      </c>
      <c r="F39" s="74" t="s">
        <v>77</v>
      </c>
      <c r="G39" s="110">
        <v>3</v>
      </c>
      <c r="H39" s="79" t="s">
        <v>250</v>
      </c>
      <c r="I39" s="73" t="s">
        <v>80</v>
      </c>
      <c r="J39" s="261">
        <v>60000</v>
      </c>
      <c r="K39" s="168">
        <v>0</v>
      </c>
      <c r="L39" s="168">
        <v>0</v>
      </c>
      <c r="M39" s="294"/>
      <c r="N39" s="168"/>
      <c r="O39" s="168"/>
      <c r="P39" s="168">
        <f>SUM(J39:M39)</f>
        <v>60000</v>
      </c>
      <c r="Q39" s="580" t="s">
        <v>105</v>
      </c>
      <c r="R39" s="9" t="s">
        <v>104</v>
      </c>
    </row>
    <row r="40" spans="1:19" ht="75" customHeight="1">
      <c r="A40" s="576"/>
      <c r="B40" s="585"/>
      <c r="C40" s="600"/>
      <c r="D40" s="73" t="s">
        <v>74</v>
      </c>
      <c r="E40" s="73" t="s">
        <v>27</v>
      </c>
      <c r="F40" s="74" t="s">
        <v>77</v>
      </c>
      <c r="G40" s="110">
        <v>3</v>
      </c>
      <c r="H40" s="79" t="s">
        <v>250</v>
      </c>
      <c r="I40" s="73" t="s">
        <v>80</v>
      </c>
      <c r="J40" s="261">
        <f>90000+60000-50000</f>
        <v>100000</v>
      </c>
      <c r="K40" s="168">
        <f>400000+37559</f>
        <v>437559</v>
      </c>
      <c r="L40" s="168">
        <v>0</v>
      </c>
      <c r="M40" s="294">
        <f>234700</f>
        <v>234700</v>
      </c>
      <c r="N40" s="168"/>
      <c r="O40" s="168"/>
      <c r="P40" s="168">
        <f>SUM(J40:O40)</f>
        <v>772259</v>
      </c>
      <c r="Q40" s="581"/>
      <c r="R40" s="28" t="s">
        <v>179</v>
      </c>
    </row>
    <row r="41" spans="1:19" ht="141.75" customHeight="1">
      <c r="A41" s="103" t="s">
        <v>39</v>
      </c>
      <c r="B41" s="125" t="s">
        <v>61</v>
      </c>
      <c r="C41" s="98" t="s">
        <v>56</v>
      </c>
      <c r="D41" s="103"/>
      <c r="E41" s="103"/>
      <c r="F41" s="158"/>
      <c r="G41" s="159"/>
      <c r="H41" s="79"/>
      <c r="I41" s="103"/>
      <c r="J41" s="261"/>
      <c r="K41" s="168"/>
      <c r="L41" s="168"/>
      <c r="M41" s="294"/>
      <c r="N41" s="168"/>
      <c r="O41" s="168"/>
      <c r="P41" s="168">
        <f t="shared" ref="P41:P42" si="3">SUM(J41:L41)</f>
        <v>0</v>
      </c>
      <c r="Q41" s="262" t="s">
        <v>90</v>
      </c>
      <c r="R41" s="9">
        <f>J41*0.2</f>
        <v>0</v>
      </c>
      <c r="S41" s="9">
        <f>K41*0.2</f>
        <v>0</v>
      </c>
    </row>
    <row r="42" spans="1:19" ht="110.25" customHeight="1">
      <c r="A42" s="103" t="s">
        <v>40</v>
      </c>
      <c r="B42" s="125" t="s">
        <v>62</v>
      </c>
      <c r="C42" s="98" t="s">
        <v>56</v>
      </c>
      <c r="D42" s="103"/>
      <c r="E42" s="103"/>
      <c r="F42" s="158"/>
      <c r="G42" s="159"/>
      <c r="H42" s="79"/>
      <c r="I42" s="103"/>
      <c r="J42" s="261"/>
      <c r="K42" s="168"/>
      <c r="L42" s="168"/>
      <c r="M42" s="294"/>
      <c r="N42" s="168"/>
      <c r="O42" s="168"/>
      <c r="P42" s="168">
        <f t="shared" si="3"/>
        <v>0</v>
      </c>
      <c r="Q42" s="234"/>
      <c r="R42" s="9">
        <f>J42*0.2</f>
        <v>0</v>
      </c>
      <c r="S42" s="9">
        <f>K42*0.2</f>
        <v>0</v>
      </c>
    </row>
    <row r="43" spans="1:19" ht="46.15" customHeight="1">
      <c r="A43" s="521" t="s">
        <v>41</v>
      </c>
      <c r="B43" s="601" t="s">
        <v>136</v>
      </c>
      <c r="C43" s="98" t="s">
        <v>56</v>
      </c>
      <c r="D43" s="73" t="s">
        <v>74</v>
      </c>
      <c r="E43" s="73" t="s">
        <v>27</v>
      </c>
      <c r="F43" s="74" t="s">
        <v>77</v>
      </c>
      <c r="G43" s="110">
        <v>3</v>
      </c>
      <c r="H43" s="79" t="s">
        <v>251</v>
      </c>
      <c r="I43" s="73" t="s">
        <v>28</v>
      </c>
      <c r="J43" s="244">
        <f>200000+20000+58031.49</f>
        <v>278031.49</v>
      </c>
      <c r="K43" s="168">
        <v>0</v>
      </c>
      <c r="L43" s="166">
        <v>161002.39000000001</v>
      </c>
      <c r="M43" s="294"/>
      <c r="N43" s="168"/>
      <c r="O43" s="168"/>
      <c r="P43" s="136">
        <f t="shared" ref="P43:P53" si="4">SUM(J43:M43)</f>
        <v>439033.88</v>
      </c>
      <c r="Q43" s="263" t="s">
        <v>146</v>
      </c>
      <c r="R43" s="9" t="s">
        <v>100</v>
      </c>
    </row>
    <row r="44" spans="1:19" ht="49.15" customHeight="1">
      <c r="A44" s="576"/>
      <c r="B44" s="602"/>
      <c r="C44" s="98" t="s">
        <v>56</v>
      </c>
      <c r="D44" s="73" t="s">
        <v>74</v>
      </c>
      <c r="E44" s="73" t="s">
        <v>75</v>
      </c>
      <c r="F44" s="74" t="s">
        <v>77</v>
      </c>
      <c r="G44" s="110">
        <v>3</v>
      </c>
      <c r="H44" s="79" t="s">
        <v>251</v>
      </c>
      <c r="I44" s="73" t="s">
        <v>80</v>
      </c>
      <c r="J44" s="244"/>
      <c r="K44" s="168">
        <v>300000</v>
      </c>
      <c r="L44" s="166">
        <v>0</v>
      </c>
      <c r="M44" s="293">
        <v>183110.42</v>
      </c>
      <c r="N44" s="168"/>
      <c r="O44" s="168"/>
      <c r="P44" s="136">
        <f>SUM(J44:M44)</f>
        <v>483110.42000000004</v>
      </c>
      <c r="Q44" s="264" t="s">
        <v>108</v>
      </c>
    </row>
    <row r="45" spans="1:19" ht="66.75" customHeight="1">
      <c r="A45" s="522"/>
      <c r="B45" s="602"/>
      <c r="C45" s="98" t="s">
        <v>56</v>
      </c>
      <c r="D45" s="73" t="s">
        <v>74</v>
      </c>
      <c r="E45" s="73" t="s">
        <v>27</v>
      </c>
      <c r="F45" s="74" t="s">
        <v>77</v>
      </c>
      <c r="G45" s="110">
        <v>3</v>
      </c>
      <c r="H45" s="79" t="s">
        <v>251</v>
      </c>
      <c r="I45" s="73" t="s">
        <v>80</v>
      </c>
      <c r="J45" s="244">
        <f>700000+300000+163915.45+50000</f>
        <v>1213915.45</v>
      </c>
      <c r="K45" s="167">
        <f>329682.99+1000000+133252.22</f>
        <v>1462935.21</v>
      </c>
      <c r="L45" s="166">
        <v>178632.07</v>
      </c>
      <c r="M45" s="293">
        <v>182933.59</v>
      </c>
      <c r="N45" s="168"/>
      <c r="O45" s="168"/>
      <c r="P45" s="136">
        <f>SUM(J45:M45)</f>
        <v>3038416.32</v>
      </c>
      <c r="Q45" s="264" t="s">
        <v>108</v>
      </c>
      <c r="R45" s="29" t="s">
        <v>182</v>
      </c>
    </row>
    <row r="46" spans="1:19" s="27" customFormat="1" ht="66.75" customHeight="1">
      <c r="A46" s="265"/>
      <c r="B46" s="602"/>
      <c r="C46" s="98" t="s">
        <v>56</v>
      </c>
      <c r="D46" s="73" t="s">
        <v>74</v>
      </c>
      <c r="E46" s="73" t="s">
        <v>27</v>
      </c>
      <c r="F46" s="74" t="s">
        <v>77</v>
      </c>
      <c r="G46" s="110">
        <v>3</v>
      </c>
      <c r="H46" s="79" t="s">
        <v>251</v>
      </c>
      <c r="I46" s="73" t="s">
        <v>175</v>
      </c>
      <c r="J46" s="266"/>
      <c r="K46" s="136">
        <f>57251.54</f>
        <v>57251.54</v>
      </c>
      <c r="L46" s="133"/>
      <c r="M46" s="294"/>
      <c r="N46" s="168"/>
      <c r="O46" s="168"/>
      <c r="P46" s="136">
        <f t="shared" ref="P46:P48" si="5">SUM(J46:M46)</f>
        <v>57251.54</v>
      </c>
      <c r="Q46" s="264" t="s">
        <v>108</v>
      </c>
      <c r="R46" s="37" t="s">
        <v>233</v>
      </c>
    </row>
    <row r="47" spans="1:19" s="27" customFormat="1" ht="66.75" customHeight="1">
      <c r="A47" s="265"/>
      <c r="B47" s="602"/>
      <c r="C47" s="98" t="s">
        <v>56</v>
      </c>
      <c r="D47" s="73" t="s">
        <v>74</v>
      </c>
      <c r="E47" s="73" t="s">
        <v>27</v>
      </c>
      <c r="F47" s="74" t="s">
        <v>77</v>
      </c>
      <c r="G47" s="110">
        <v>3</v>
      </c>
      <c r="H47" s="79" t="s">
        <v>251</v>
      </c>
      <c r="I47" s="73" t="s">
        <v>28</v>
      </c>
      <c r="J47" s="266"/>
      <c r="K47" s="136">
        <f>100784.28+2467.26-42136.11-15115.43</f>
        <v>45999.999999999993</v>
      </c>
      <c r="L47" s="168"/>
      <c r="M47" s="294"/>
      <c r="N47" s="168"/>
      <c r="O47" s="168"/>
      <c r="P47" s="136">
        <f t="shared" si="5"/>
        <v>45999.999999999993</v>
      </c>
      <c r="Q47" s="264" t="s">
        <v>108</v>
      </c>
    </row>
    <row r="48" spans="1:19" s="56" customFormat="1" ht="66.75" customHeight="1">
      <c r="A48" s="349"/>
      <c r="B48" s="603"/>
      <c r="C48" s="98" t="s">
        <v>56</v>
      </c>
      <c r="D48" s="76" t="s">
        <v>74</v>
      </c>
      <c r="E48" s="76" t="s">
        <v>27</v>
      </c>
      <c r="F48" s="77" t="s">
        <v>77</v>
      </c>
      <c r="G48" s="78">
        <v>3</v>
      </c>
      <c r="H48" s="111" t="s">
        <v>299</v>
      </c>
      <c r="I48" s="76" t="s">
        <v>80</v>
      </c>
      <c r="J48" s="266"/>
      <c r="K48" s="136"/>
      <c r="L48" s="168">
        <v>600000</v>
      </c>
      <c r="M48" s="294"/>
      <c r="N48" s="168"/>
      <c r="O48" s="168"/>
      <c r="P48" s="136">
        <f t="shared" si="5"/>
        <v>600000</v>
      </c>
      <c r="Q48" s="264" t="s">
        <v>108</v>
      </c>
    </row>
    <row r="49" spans="1:18" ht="78.75" customHeight="1">
      <c r="A49" s="103" t="s">
        <v>64</v>
      </c>
      <c r="B49" s="125" t="s">
        <v>135</v>
      </c>
      <c r="C49" s="98" t="s">
        <v>56</v>
      </c>
      <c r="D49" s="73" t="s">
        <v>74</v>
      </c>
      <c r="E49" s="73" t="s">
        <v>27</v>
      </c>
      <c r="F49" s="74" t="s">
        <v>77</v>
      </c>
      <c r="G49" s="110">
        <v>3</v>
      </c>
      <c r="H49" s="79" t="s">
        <v>250</v>
      </c>
      <c r="I49" s="73" t="s">
        <v>28</v>
      </c>
      <c r="J49" s="261">
        <v>150000</v>
      </c>
      <c r="K49" s="168">
        <v>0</v>
      </c>
      <c r="L49" s="168">
        <v>0</v>
      </c>
      <c r="M49" s="294"/>
      <c r="N49" s="168"/>
      <c r="O49" s="168"/>
      <c r="P49" s="168">
        <f t="shared" si="4"/>
        <v>150000</v>
      </c>
      <c r="Q49" s="262" t="s">
        <v>110</v>
      </c>
      <c r="R49" s="9" t="s">
        <v>100</v>
      </c>
    </row>
    <row r="50" spans="1:18" ht="81.75" customHeight="1">
      <c r="A50" s="103" t="s">
        <v>42</v>
      </c>
      <c r="B50" s="125" t="s">
        <v>118</v>
      </c>
      <c r="C50" s="98" t="s">
        <v>56</v>
      </c>
      <c r="D50" s="73" t="s">
        <v>74</v>
      </c>
      <c r="E50" s="73" t="s">
        <v>27</v>
      </c>
      <c r="F50" s="74" t="s">
        <v>77</v>
      </c>
      <c r="G50" s="110">
        <v>3</v>
      </c>
      <c r="H50" s="79" t="s">
        <v>272</v>
      </c>
      <c r="I50" s="73" t="s">
        <v>80</v>
      </c>
      <c r="J50" s="261">
        <v>90000</v>
      </c>
      <c r="K50" s="168">
        <v>0</v>
      </c>
      <c r="L50" s="168">
        <v>0</v>
      </c>
      <c r="M50" s="294"/>
      <c r="N50" s="168"/>
      <c r="O50" s="168"/>
      <c r="P50" s="168">
        <f t="shared" si="4"/>
        <v>90000</v>
      </c>
      <c r="Q50" s="234" t="s">
        <v>109</v>
      </c>
      <c r="R50" s="9" t="s">
        <v>0</v>
      </c>
    </row>
    <row r="51" spans="1:18" ht="132" customHeight="1">
      <c r="A51" s="103" t="s">
        <v>69</v>
      </c>
      <c r="B51" s="125" t="s">
        <v>65</v>
      </c>
      <c r="C51" s="98" t="s">
        <v>56</v>
      </c>
      <c r="D51" s="103" t="s">
        <v>74</v>
      </c>
      <c r="E51" s="103" t="s">
        <v>27</v>
      </c>
      <c r="F51" s="158" t="s">
        <v>77</v>
      </c>
      <c r="G51" s="159">
        <v>3</v>
      </c>
      <c r="H51" s="79" t="s">
        <v>273</v>
      </c>
      <c r="I51" s="103" t="s">
        <v>80</v>
      </c>
      <c r="J51" s="261">
        <f>100000</f>
        <v>100000</v>
      </c>
      <c r="K51" s="168" t="s">
        <v>147</v>
      </c>
      <c r="L51" s="168" t="s">
        <v>147</v>
      </c>
      <c r="M51" s="294"/>
      <c r="N51" s="168"/>
      <c r="O51" s="168"/>
      <c r="P51" s="168">
        <f t="shared" si="4"/>
        <v>100000</v>
      </c>
      <c r="Q51" s="234" t="s">
        <v>91</v>
      </c>
    </row>
    <row r="52" spans="1:18" ht="133.5" customHeight="1">
      <c r="A52" s="103" t="s">
        <v>70</v>
      </c>
      <c r="B52" s="117" t="s">
        <v>63</v>
      </c>
      <c r="C52" s="98"/>
      <c r="D52" s="103"/>
      <c r="E52" s="103"/>
      <c r="F52" s="158"/>
      <c r="G52" s="159"/>
      <c r="H52" s="79"/>
      <c r="I52" s="103"/>
      <c r="J52" s="261"/>
      <c r="K52" s="168"/>
      <c r="L52" s="168"/>
      <c r="M52" s="294"/>
      <c r="N52" s="168"/>
      <c r="O52" s="168"/>
      <c r="P52" s="168">
        <f t="shared" si="4"/>
        <v>0</v>
      </c>
      <c r="Q52" s="234" t="s">
        <v>95</v>
      </c>
    </row>
    <row r="53" spans="1:18" ht="221.25" customHeight="1">
      <c r="A53" s="103" t="s">
        <v>149</v>
      </c>
      <c r="B53" s="125" t="s">
        <v>150</v>
      </c>
      <c r="C53" s="98" t="s">
        <v>56</v>
      </c>
      <c r="D53" s="103" t="s">
        <v>74</v>
      </c>
      <c r="E53" s="103" t="s">
        <v>27</v>
      </c>
      <c r="F53" s="158" t="s">
        <v>77</v>
      </c>
      <c r="G53" s="159">
        <v>3</v>
      </c>
      <c r="H53" s="79" t="s">
        <v>274</v>
      </c>
      <c r="I53" s="103" t="s">
        <v>28</v>
      </c>
      <c r="J53" s="261">
        <f>400000</f>
        <v>400000</v>
      </c>
      <c r="K53" s="168" t="s">
        <v>147</v>
      </c>
      <c r="L53" s="168" t="s">
        <v>147</v>
      </c>
      <c r="M53" s="294"/>
      <c r="N53" s="168"/>
      <c r="O53" s="168"/>
      <c r="P53" s="168">
        <f t="shared" si="4"/>
        <v>400000</v>
      </c>
      <c r="Q53" s="234" t="s">
        <v>91</v>
      </c>
    </row>
    <row r="54" spans="1:18" s="38" customFormat="1" ht="221.25" customHeight="1">
      <c r="A54" s="103" t="s">
        <v>235</v>
      </c>
      <c r="B54" s="125" t="s">
        <v>238</v>
      </c>
      <c r="C54" s="98" t="s">
        <v>56</v>
      </c>
      <c r="D54" s="103" t="s">
        <v>74</v>
      </c>
      <c r="E54" s="103" t="s">
        <v>27</v>
      </c>
      <c r="F54" s="158" t="s">
        <v>77</v>
      </c>
      <c r="G54" s="159">
        <v>3</v>
      </c>
      <c r="H54" s="79" t="s">
        <v>275</v>
      </c>
      <c r="I54" s="103" t="s">
        <v>28</v>
      </c>
      <c r="J54" s="261"/>
      <c r="K54" s="167">
        <f>159831.56+231639.69</f>
        <v>391471.25</v>
      </c>
      <c r="L54" s="168"/>
      <c r="M54" s="294"/>
      <c r="N54" s="168"/>
      <c r="O54" s="168"/>
      <c r="P54" s="167">
        <f>K54+L54+M54</f>
        <v>391471.25</v>
      </c>
      <c r="Q54" s="234"/>
      <c r="R54" s="38" t="s">
        <v>239</v>
      </c>
    </row>
    <row r="55" spans="1:18" s="38" customFormat="1" ht="221.25" customHeight="1">
      <c r="A55" s="103" t="s">
        <v>237</v>
      </c>
      <c r="B55" s="125" t="s">
        <v>238</v>
      </c>
      <c r="C55" s="98" t="s">
        <v>56</v>
      </c>
      <c r="D55" s="103" t="s">
        <v>74</v>
      </c>
      <c r="E55" s="103" t="s">
        <v>27</v>
      </c>
      <c r="F55" s="158" t="s">
        <v>77</v>
      </c>
      <c r="G55" s="159">
        <v>3</v>
      </c>
      <c r="H55" s="79" t="s">
        <v>275</v>
      </c>
      <c r="I55" s="103" t="s">
        <v>175</v>
      </c>
      <c r="J55" s="261"/>
      <c r="K55" s="168">
        <v>62503.7</v>
      </c>
      <c r="L55" s="168"/>
      <c r="M55" s="294"/>
      <c r="N55" s="168"/>
      <c r="O55" s="168"/>
      <c r="P55" s="168">
        <f>K55+L55+M55</f>
        <v>62503.7</v>
      </c>
      <c r="Q55" s="234"/>
      <c r="R55" s="38" t="s">
        <v>239</v>
      </c>
    </row>
    <row r="56" spans="1:18" s="38" customFormat="1" ht="221.25" customHeight="1">
      <c r="A56" s="103" t="s">
        <v>236</v>
      </c>
      <c r="B56" s="125" t="s">
        <v>238</v>
      </c>
      <c r="C56" s="98" t="s">
        <v>56</v>
      </c>
      <c r="D56" s="103" t="s">
        <v>74</v>
      </c>
      <c r="E56" s="103" t="s">
        <v>27</v>
      </c>
      <c r="F56" s="158" t="s">
        <v>77</v>
      </c>
      <c r="G56" s="159">
        <v>3</v>
      </c>
      <c r="H56" s="79" t="s">
        <v>275</v>
      </c>
      <c r="I56" s="103" t="s">
        <v>80</v>
      </c>
      <c r="J56" s="261"/>
      <c r="K56" s="167">
        <f>43597.2+115370.63</f>
        <v>158967.83000000002</v>
      </c>
      <c r="L56" s="168"/>
      <c r="M56" s="294"/>
      <c r="N56" s="168"/>
      <c r="O56" s="168"/>
      <c r="P56" s="167">
        <f>K56+L56+M56</f>
        <v>158967.83000000002</v>
      </c>
      <c r="Q56" s="234"/>
      <c r="R56" s="38" t="s">
        <v>240</v>
      </c>
    </row>
    <row r="57" spans="1:18" s="409" customFormat="1" ht="221.25" customHeight="1">
      <c r="A57" s="76" t="s">
        <v>301</v>
      </c>
      <c r="B57" s="115" t="s">
        <v>307</v>
      </c>
      <c r="C57" s="69" t="s">
        <v>56</v>
      </c>
      <c r="D57" s="76" t="s">
        <v>74</v>
      </c>
      <c r="E57" s="76" t="s">
        <v>27</v>
      </c>
      <c r="F57" s="77" t="s">
        <v>77</v>
      </c>
      <c r="G57" s="78">
        <v>3</v>
      </c>
      <c r="H57" s="83" t="s">
        <v>302</v>
      </c>
      <c r="I57" s="76" t="s">
        <v>175</v>
      </c>
      <c r="J57" s="133"/>
      <c r="K57" s="166"/>
      <c r="L57" s="133"/>
      <c r="M57" s="447">
        <f>469240.81+15081</f>
        <v>484321.81</v>
      </c>
      <c r="N57" s="133"/>
      <c r="O57" s="133"/>
      <c r="P57" s="166">
        <f>K57+L57+M57</f>
        <v>484321.81</v>
      </c>
      <c r="Q57" s="404"/>
    </row>
    <row r="58" spans="1:18" s="409" customFormat="1" ht="221.25" customHeight="1">
      <c r="A58" s="76" t="s">
        <v>330</v>
      </c>
      <c r="B58" s="115" t="str">
        <f t="shared" ref="B58:O58" si="6">B57</f>
        <v>Разработка дизайн-проекта к ПСД на модернизацию городской библиотеки</v>
      </c>
      <c r="C58" s="69" t="str">
        <f t="shared" si="6"/>
        <v>ОКСМПиИО</v>
      </c>
      <c r="D58" s="76" t="str">
        <f t="shared" si="6"/>
        <v>059</v>
      </c>
      <c r="E58" s="76" t="str">
        <f t="shared" si="6"/>
        <v>0801</v>
      </c>
      <c r="F58" s="77" t="str">
        <f t="shared" si="6"/>
        <v>06</v>
      </c>
      <c r="G58" s="78">
        <f t="shared" si="6"/>
        <v>3</v>
      </c>
      <c r="H58" s="83" t="str">
        <f t="shared" si="6"/>
        <v>0094150</v>
      </c>
      <c r="I58" s="76" t="s">
        <v>28</v>
      </c>
      <c r="J58" s="133">
        <f t="shared" si="6"/>
        <v>0</v>
      </c>
      <c r="K58" s="166">
        <f t="shared" si="6"/>
        <v>0</v>
      </c>
      <c r="L58" s="133">
        <f t="shared" si="6"/>
        <v>0</v>
      </c>
      <c r="M58" s="164">
        <f>856576.19+250000-136746.19</f>
        <v>969830</v>
      </c>
      <c r="N58" s="133">
        <f t="shared" si="6"/>
        <v>0</v>
      </c>
      <c r="O58" s="133">
        <f t="shared" si="6"/>
        <v>0</v>
      </c>
      <c r="P58" s="166">
        <f>M58</f>
        <v>969830</v>
      </c>
      <c r="Q58" s="404"/>
    </row>
    <row r="59" spans="1:18" s="409" customFormat="1" ht="221.25" customHeight="1">
      <c r="A59" s="76" t="s">
        <v>326</v>
      </c>
      <c r="B59" s="115" t="s">
        <v>327</v>
      </c>
      <c r="C59" s="69" t="s">
        <v>56</v>
      </c>
      <c r="D59" s="76" t="s">
        <v>74</v>
      </c>
      <c r="E59" s="76" t="s">
        <v>27</v>
      </c>
      <c r="F59" s="77" t="s">
        <v>77</v>
      </c>
      <c r="G59" s="78">
        <v>3</v>
      </c>
      <c r="H59" s="83" t="s">
        <v>333</v>
      </c>
      <c r="I59" s="76" t="s">
        <v>28</v>
      </c>
      <c r="J59" s="133"/>
      <c r="K59" s="166"/>
      <c r="L59" s="133"/>
      <c r="M59" s="166">
        <v>12218078</v>
      </c>
      <c r="N59" s="133"/>
      <c r="O59" s="133"/>
      <c r="P59" s="166">
        <f t="shared" ref="P59:P62" si="7">K59+L59+M59</f>
        <v>12218078</v>
      </c>
      <c r="Q59" s="404"/>
    </row>
    <row r="60" spans="1:18" s="409" customFormat="1" ht="221.25" customHeight="1">
      <c r="A60" s="76" t="s">
        <v>329</v>
      </c>
      <c r="B60" s="115" t="s">
        <v>327</v>
      </c>
      <c r="C60" s="69" t="s">
        <v>56</v>
      </c>
      <c r="D60" s="76" t="s">
        <v>74</v>
      </c>
      <c r="E60" s="76" t="s">
        <v>27</v>
      </c>
      <c r="F60" s="77" t="s">
        <v>77</v>
      </c>
      <c r="G60" s="78">
        <v>3</v>
      </c>
      <c r="H60" s="83" t="s">
        <v>333</v>
      </c>
      <c r="I60" s="76" t="s">
        <v>175</v>
      </c>
      <c r="J60" s="133"/>
      <c r="K60" s="166"/>
      <c r="L60" s="133"/>
      <c r="M60" s="448">
        <v>0</v>
      </c>
      <c r="N60" s="133"/>
      <c r="O60" s="133"/>
      <c r="P60" s="166">
        <f t="shared" si="7"/>
        <v>0</v>
      </c>
      <c r="Q60" s="404"/>
    </row>
    <row r="61" spans="1:18" s="409" customFormat="1" ht="221.25" customHeight="1">
      <c r="A61" s="76" t="s">
        <v>334</v>
      </c>
      <c r="B61" s="115" t="s">
        <v>325</v>
      </c>
      <c r="C61" s="69" t="s">
        <v>56</v>
      </c>
      <c r="D61" s="76" t="s">
        <v>74</v>
      </c>
      <c r="E61" s="76" t="s">
        <v>27</v>
      </c>
      <c r="F61" s="77" t="s">
        <v>77</v>
      </c>
      <c r="G61" s="78">
        <v>3</v>
      </c>
      <c r="H61" s="83" t="s">
        <v>328</v>
      </c>
      <c r="I61" s="76" t="s">
        <v>28</v>
      </c>
      <c r="J61" s="133"/>
      <c r="K61" s="166"/>
      <c r="L61" s="133"/>
      <c r="M61" s="448">
        <f>1579909-600000</f>
        <v>979909</v>
      </c>
      <c r="N61" s="133"/>
      <c r="O61" s="133"/>
      <c r="P61" s="166">
        <f t="shared" si="7"/>
        <v>979909</v>
      </c>
      <c r="Q61" s="404"/>
    </row>
    <row r="62" spans="1:18" s="409" customFormat="1" ht="221.25" customHeight="1">
      <c r="A62" s="76" t="s">
        <v>347</v>
      </c>
      <c r="B62" s="115" t="s">
        <v>325</v>
      </c>
      <c r="C62" s="69" t="s">
        <v>56</v>
      </c>
      <c r="D62" s="76" t="s">
        <v>74</v>
      </c>
      <c r="E62" s="76" t="s">
        <v>27</v>
      </c>
      <c r="F62" s="77" t="s">
        <v>77</v>
      </c>
      <c r="G62" s="78">
        <v>3</v>
      </c>
      <c r="H62" s="83" t="s">
        <v>328</v>
      </c>
      <c r="I62" s="76" t="s">
        <v>175</v>
      </c>
      <c r="J62" s="133"/>
      <c r="K62" s="166"/>
      <c r="L62" s="133"/>
      <c r="M62" s="448">
        <v>747344</v>
      </c>
      <c r="N62" s="133"/>
      <c r="O62" s="133"/>
      <c r="P62" s="166">
        <f t="shared" si="7"/>
        <v>747344</v>
      </c>
      <c r="Q62" s="404"/>
    </row>
    <row r="63" spans="1:18" ht="28.5" customHeight="1">
      <c r="A63" s="236"/>
      <c r="B63" s="237" t="s">
        <v>23</v>
      </c>
      <c r="C63" s="238"/>
      <c r="D63" s="237"/>
      <c r="E63" s="237"/>
      <c r="F63" s="239"/>
      <c r="G63" s="240"/>
      <c r="H63" s="241"/>
      <c r="I63" s="237"/>
      <c r="J63" s="267">
        <f>SUM(J39:J53)</f>
        <v>2391946.94</v>
      </c>
      <c r="K63" s="267">
        <f>SUM(K39:K56)</f>
        <v>2916688.5300000003</v>
      </c>
      <c r="L63" s="267">
        <f t="shared" ref="L63:N63" si="8">SUM(L39:L56)</f>
        <v>939634.46</v>
      </c>
      <c r="M63" s="267">
        <f>SUM(M39:M62)</f>
        <v>16000226.82</v>
      </c>
      <c r="N63" s="267">
        <f t="shared" si="8"/>
        <v>0</v>
      </c>
      <c r="O63" s="267"/>
      <c r="P63" s="267">
        <f>J63+K63+L63+M63</f>
        <v>22248496.75</v>
      </c>
      <c r="Q63" s="238"/>
      <c r="R63" s="8"/>
    </row>
    <row r="64" spans="1:18" ht="24" customHeight="1">
      <c r="A64" s="268" t="s">
        <v>67</v>
      </c>
      <c r="B64" s="597" t="s">
        <v>230</v>
      </c>
      <c r="C64" s="598"/>
      <c r="D64" s="598"/>
      <c r="E64" s="598"/>
      <c r="F64" s="598"/>
      <c r="G64" s="598"/>
      <c r="H64" s="598"/>
      <c r="I64" s="598"/>
      <c r="J64" s="598"/>
      <c r="K64" s="598"/>
      <c r="L64" s="598"/>
      <c r="M64" s="598"/>
      <c r="N64" s="598"/>
      <c r="O64" s="598"/>
      <c r="P64" s="599"/>
      <c r="Q64" s="269"/>
    </row>
    <row r="65" spans="1:18" ht="15.75" customHeight="1">
      <c r="A65" s="270" t="s">
        <v>43</v>
      </c>
      <c r="B65" s="519" t="s">
        <v>66</v>
      </c>
      <c r="C65" s="106" t="s">
        <v>56</v>
      </c>
      <c r="D65" s="103" t="s">
        <v>74</v>
      </c>
      <c r="E65" s="103" t="s">
        <v>26</v>
      </c>
      <c r="F65" s="158" t="s">
        <v>77</v>
      </c>
      <c r="G65" s="159">
        <v>3</v>
      </c>
      <c r="H65" s="79" t="s">
        <v>249</v>
      </c>
      <c r="I65" s="103" t="s">
        <v>45</v>
      </c>
      <c r="J65" s="175">
        <v>630921.29</v>
      </c>
      <c r="K65" s="176">
        <f>852246.07-7240.07+6632.78</f>
        <v>851638.78</v>
      </c>
      <c r="L65" s="172">
        <v>881415.33</v>
      </c>
      <c r="M65" s="179">
        <f>943790.56-2855.06</f>
        <v>940935.5</v>
      </c>
      <c r="N65" s="176">
        <f>M65-50433.6+2855.06</f>
        <v>893356.96000000008</v>
      </c>
      <c r="O65" s="176">
        <f>N65</f>
        <v>893356.96000000008</v>
      </c>
      <c r="P65" s="176">
        <f t="shared" ref="P65:P71" si="9">SUM(J65:O65)</f>
        <v>5091624.82</v>
      </c>
      <c r="Q65" s="580"/>
      <c r="R65" s="16" t="s">
        <v>181</v>
      </c>
    </row>
    <row r="66" spans="1:18" s="48" customFormat="1" ht="15.75" customHeight="1">
      <c r="A66" s="270" t="s">
        <v>43</v>
      </c>
      <c r="B66" s="600"/>
      <c r="C66" s="106" t="s">
        <v>56</v>
      </c>
      <c r="D66" s="103" t="s">
        <v>74</v>
      </c>
      <c r="E66" s="103" t="s">
        <v>26</v>
      </c>
      <c r="F66" s="158" t="s">
        <v>77</v>
      </c>
      <c r="G66" s="159">
        <v>3</v>
      </c>
      <c r="H66" s="174" t="s">
        <v>280</v>
      </c>
      <c r="I66" s="103" t="s">
        <v>45</v>
      </c>
      <c r="J66" s="175">
        <v>192955</v>
      </c>
      <c r="K66" s="176">
        <f>255580.8+23928.07</f>
        <v>279508.87</v>
      </c>
      <c r="L66" s="179">
        <v>269610.46000000002</v>
      </c>
      <c r="M66" s="179">
        <v>258940.29</v>
      </c>
      <c r="N66" s="176">
        <f>M66-387.98</f>
        <v>258552.31</v>
      </c>
      <c r="O66" s="176">
        <f t="shared" ref="N66:O73" si="10">N66</f>
        <v>258552.31</v>
      </c>
      <c r="P66" s="176">
        <f t="shared" si="9"/>
        <v>1518119.2400000002</v>
      </c>
      <c r="Q66" s="581"/>
      <c r="R66" s="16" t="s">
        <v>181</v>
      </c>
    </row>
    <row r="67" spans="1:18" s="43" customFormat="1" ht="15.75" customHeight="1">
      <c r="A67" s="271"/>
      <c r="B67" s="600"/>
      <c r="C67" s="106" t="s">
        <v>56</v>
      </c>
      <c r="D67" s="103" t="s">
        <v>74</v>
      </c>
      <c r="E67" s="79" t="s">
        <v>26</v>
      </c>
      <c r="F67" s="177" t="s">
        <v>77</v>
      </c>
      <c r="G67" s="159">
        <v>3</v>
      </c>
      <c r="H67" s="174" t="s">
        <v>249</v>
      </c>
      <c r="I67" s="103" t="s">
        <v>277</v>
      </c>
      <c r="J67" s="175">
        <v>190538.23</v>
      </c>
      <c r="K67" s="176">
        <f>257378.31-2186.51+1972.91</f>
        <v>257164.71</v>
      </c>
      <c r="L67" s="172">
        <v>264351.81</v>
      </c>
      <c r="M67" s="179">
        <f>293929.72-862.23</f>
        <v>293067.49</v>
      </c>
      <c r="N67" s="176">
        <f>M67-24135.92+862.23</f>
        <v>269793.8</v>
      </c>
      <c r="O67" s="176">
        <f t="shared" si="10"/>
        <v>269793.8</v>
      </c>
      <c r="P67" s="176">
        <f t="shared" si="9"/>
        <v>1544709.84</v>
      </c>
      <c r="Q67" s="581"/>
      <c r="R67" s="16"/>
    </row>
    <row r="68" spans="1:18" s="48" customFormat="1" ht="15.75" customHeight="1">
      <c r="A68" s="271"/>
      <c r="B68" s="600"/>
      <c r="C68" s="106" t="s">
        <v>56</v>
      </c>
      <c r="D68" s="103" t="s">
        <v>74</v>
      </c>
      <c r="E68" s="79" t="s">
        <v>26</v>
      </c>
      <c r="F68" s="177" t="s">
        <v>77</v>
      </c>
      <c r="G68" s="159">
        <v>3</v>
      </c>
      <c r="H68" s="174" t="s">
        <v>280</v>
      </c>
      <c r="I68" s="103" t="s">
        <v>277</v>
      </c>
      <c r="J68" s="175">
        <v>58272.41</v>
      </c>
      <c r="K68" s="176">
        <f>77185.4+7226.29</f>
        <v>84411.689999999988</v>
      </c>
      <c r="L68" s="179">
        <v>80347.22</v>
      </c>
      <c r="M68" s="179">
        <v>78199.97</v>
      </c>
      <c r="N68" s="176">
        <f>M68-117.17</f>
        <v>78082.8</v>
      </c>
      <c r="O68" s="176">
        <f t="shared" si="10"/>
        <v>78082.8</v>
      </c>
      <c r="P68" s="176">
        <f t="shared" si="9"/>
        <v>457396.88999999996</v>
      </c>
      <c r="Q68" s="581"/>
      <c r="R68" s="16"/>
    </row>
    <row r="69" spans="1:18">
      <c r="A69" s="271"/>
      <c r="B69" s="600"/>
      <c r="C69" s="106" t="s">
        <v>56</v>
      </c>
      <c r="D69" s="99" t="s">
        <v>74</v>
      </c>
      <c r="E69" s="100" t="s">
        <v>26</v>
      </c>
      <c r="F69" s="101" t="s">
        <v>77</v>
      </c>
      <c r="G69" s="102">
        <v>3</v>
      </c>
      <c r="H69" s="79" t="s">
        <v>249</v>
      </c>
      <c r="I69" s="103" t="s">
        <v>126</v>
      </c>
      <c r="J69" s="175">
        <f>7200-3200</f>
        <v>4000</v>
      </c>
      <c r="K69" s="176">
        <v>2484.59</v>
      </c>
      <c r="L69" s="172">
        <f>780+23583+574.6</f>
        <v>24937.599999999999</v>
      </c>
      <c r="M69" s="179">
        <v>2174.65</v>
      </c>
      <c r="N69" s="176">
        <f>M69-666.25-728.4</f>
        <v>780.00000000000011</v>
      </c>
      <c r="O69" s="176">
        <f t="shared" si="10"/>
        <v>780.00000000000011</v>
      </c>
      <c r="P69" s="176">
        <f t="shared" si="9"/>
        <v>35156.839999999997</v>
      </c>
      <c r="Q69" s="581"/>
      <c r="R69" s="16"/>
    </row>
    <row r="70" spans="1:18">
      <c r="A70" s="271"/>
      <c r="B70" s="600"/>
      <c r="C70" s="106" t="s">
        <v>56</v>
      </c>
      <c r="D70" s="99" t="s">
        <v>74</v>
      </c>
      <c r="E70" s="100" t="s">
        <v>26</v>
      </c>
      <c r="F70" s="101" t="s">
        <v>77</v>
      </c>
      <c r="G70" s="102">
        <v>3</v>
      </c>
      <c r="H70" s="79" t="s">
        <v>249</v>
      </c>
      <c r="I70" s="100" t="s">
        <v>28</v>
      </c>
      <c r="J70" s="175">
        <f>290346.4+3200-58031.49</f>
        <v>235514.91000000003</v>
      </c>
      <c r="K70" s="176">
        <f>323459.03+27100-878.56-2484.59-1000+20000-11779.44</f>
        <v>354416.44</v>
      </c>
      <c r="L70" s="172">
        <f>347279.03-23583-574.6-20000</f>
        <v>303121.43000000005</v>
      </c>
      <c r="M70" s="179">
        <v>324904.38</v>
      </c>
      <c r="N70" s="176">
        <f>M70+666.25+11022.4-54</f>
        <v>336539.03</v>
      </c>
      <c r="O70" s="176">
        <f t="shared" si="10"/>
        <v>336539.03</v>
      </c>
      <c r="P70" s="176">
        <f t="shared" si="9"/>
        <v>1891035.2200000002</v>
      </c>
      <c r="Q70" s="582"/>
      <c r="R70" s="16"/>
    </row>
    <row r="71" spans="1:18" outlineLevel="1">
      <c r="A71" s="271"/>
      <c r="B71" s="600"/>
      <c r="C71" s="106" t="s">
        <v>56</v>
      </c>
      <c r="D71" s="99" t="s">
        <v>74</v>
      </c>
      <c r="E71" s="100" t="s">
        <v>26</v>
      </c>
      <c r="F71" s="101" t="s">
        <v>77</v>
      </c>
      <c r="G71" s="102">
        <v>3</v>
      </c>
      <c r="H71" s="79" t="s">
        <v>249</v>
      </c>
      <c r="I71" s="100" t="s">
        <v>127</v>
      </c>
      <c r="J71" s="175">
        <v>4500</v>
      </c>
      <c r="K71" s="176">
        <f>878.56+1000</f>
        <v>1878.56</v>
      </c>
      <c r="L71" s="172">
        <v>1000</v>
      </c>
      <c r="M71" s="179"/>
      <c r="N71" s="176">
        <v>0</v>
      </c>
      <c r="O71" s="176"/>
      <c r="P71" s="176">
        <f t="shared" si="9"/>
        <v>7378.5599999999995</v>
      </c>
      <c r="Q71" s="127"/>
      <c r="R71" s="16" t="s">
        <v>234</v>
      </c>
    </row>
    <row r="72" spans="1:18" s="56" customFormat="1" outlineLevel="1">
      <c r="A72" s="271"/>
      <c r="B72" s="600"/>
      <c r="C72" s="362" t="s">
        <v>56</v>
      </c>
      <c r="D72" s="99" t="s">
        <v>74</v>
      </c>
      <c r="E72" s="100" t="s">
        <v>26</v>
      </c>
      <c r="F72" s="101" t="s">
        <v>77</v>
      </c>
      <c r="G72" s="102">
        <v>3</v>
      </c>
      <c r="H72" s="79" t="s">
        <v>249</v>
      </c>
      <c r="I72" s="100" t="s">
        <v>312</v>
      </c>
      <c r="J72" s="175"/>
      <c r="K72" s="176"/>
      <c r="L72" s="172"/>
      <c r="M72" s="179">
        <v>878.56</v>
      </c>
      <c r="N72" s="176">
        <f t="shared" ref="N72" si="11">M72</f>
        <v>878.56</v>
      </c>
      <c r="O72" s="176">
        <f t="shared" ref="O72" si="12">N72</f>
        <v>878.56</v>
      </c>
      <c r="P72" s="176">
        <f>SUM(J72:O72)</f>
        <v>2635.68</v>
      </c>
      <c r="Q72" s="363"/>
      <c r="R72" s="16"/>
    </row>
    <row r="73" spans="1:18" outlineLevel="1">
      <c r="A73" s="272"/>
      <c r="B73" s="600"/>
      <c r="C73" s="106" t="s">
        <v>56</v>
      </c>
      <c r="D73" s="99" t="s">
        <v>74</v>
      </c>
      <c r="E73" s="100" t="s">
        <v>26</v>
      </c>
      <c r="F73" s="101" t="s">
        <v>77</v>
      </c>
      <c r="G73" s="102">
        <v>3</v>
      </c>
      <c r="H73" s="100" t="s">
        <v>275</v>
      </c>
      <c r="I73" s="103" t="s">
        <v>126</v>
      </c>
      <c r="J73" s="176"/>
      <c r="K73" s="176">
        <f>8000+2416</f>
        <v>10416</v>
      </c>
      <c r="L73" s="176"/>
      <c r="M73" s="179"/>
      <c r="N73" s="176">
        <f t="shared" si="10"/>
        <v>0</v>
      </c>
      <c r="O73" s="176">
        <f t="shared" si="10"/>
        <v>0</v>
      </c>
      <c r="P73" s="176">
        <f t="shared" ref="P73:P75" si="13">SUM(J73:N73)</f>
        <v>10416</v>
      </c>
      <c r="Q73" s="127"/>
      <c r="R73" s="16"/>
    </row>
    <row r="74" spans="1:18" s="56" customFormat="1" outlineLevel="1">
      <c r="A74" s="272"/>
      <c r="B74" s="600"/>
      <c r="C74" s="350" t="s">
        <v>56</v>
      </c>
      <c r="D74" s="99" t="s">
        <v>74</v>
      </c>
      <c r="E74" s="100" t="s">
        <v>26</v>
      </c>
      <c r="F74" s="101" t="s">
        <v>77</v>
      </c>
      <c r="G74" s="102">
        <v>3</v>
      </c>
      <c r="H74" s="83" t="s">
        <v>299</v>
      </c>
      <c r="I74" s="76" t="s">
        <v>126</v>
      </c>
      <c r="J74" s="176"/>
      <c r="K74" s="176"/>
      <c r="L74" s="176">
        <v>7500</v>
      </c>
      <c r="M74" s="179">
        <v>7500</v>
      </c>
      <c r="N74" s="176">
        <v>0</v>
      </c>
      <c r="O74" s="176"/>
      <c r="P74" s="176">
        <f t="shared" si="13"/>
        <v>15000</v>
      </c>
      <c r="Q74" s="351"/>
      <c r="R74" s="16"/>
    </row>
    <row r="75" spans="1:18" s="56" customFormat="1" outlineLevel="1">
      <c r="A75" s="272"/>
      <c r="B75" s="520"/>
      <c r="C75" s="350" t="s">
        <v>56</v>
      </c>
      <c r="D75" s="99" t="s">
        <v>74</v>
      </c>
      <c r="E75" s="100" t="s">
        <v>26</v>
      </c>
      <c r="F75" s="101" t="s">
        <v>77</v>
      </c>
      <c r="G75" s="102">
        <v>3</v>
      </c>
      <c r="H75" s="83" t="s">
        <v>299</v>
      </c>
      <c r="I75" s="76" t="s">
        <v>277</v>
      </c>
      <c r="J75" s="176"/>
      <c r="K75" s="176"/>
      <c r="L75" s="176">
        <v>2265</v>
      </c>
      <c r="M75" s="179">
        <v>2265</v>
      </c>
      <c r="N75" s="176">
        <v>0</v>
      </c>
      <c r="O75" s="176"/>
      <c r="P75" s="176">
        <f t="shared" si="13"/>
        <v>4530</v>
      </c>
      <c r="Q75" s="351"/>
      <c r="R75" s="16"/>
    </row>
    <row r="76" spans="1:18" ht="31.5" customHeight="1">
      <c r="A76" s="236"/>
      <c r="B76" s="237" t="s">
        <v>44</v>
      </c>
      <c r="C76" s="238"/>
      <c r="D76" s="237"/>
      <c r="E76" s="237"/>
      <c r="F76" s="239"/>
      <c r="G76" s="240"/>
      <c r="H76" s="241"/>
      <c r="I76" s="237"/>
      <c r="J76" s="273">
        <f>SUM(J65:J73)</f>
        <v>1316701.8399999999</v>
      </c>
      <c r="K76" s="273">
        <f>SUM(K65:K73)</f>
        <v>1841919.64</v>
      </c>
      <c r="L76" s="273">
        <f>SUM(L65:L75)</f>
        <v>1834548.85</v>
      </c>
      <c r="M76" s="273">
        <f>SUM(M65:M75)</f>
        <v>1908865.8399999999</v>
      </c>
      <c r="N76" s="273">
        <f>SUM(N65:N75)</f>
        <v>1837983.4600000002</v>
      </c>
      <c r="O76" s="273">
        <f>SUM(O65:O73)</f>
        <v>1837983.4600000002</v>
      </c>
      <c r="P76" s="273">
        <f>SUM(P65:P75)</f>
        <v>10578003.090000002</v>
      </c>
      <c r="Q76" s="238"/>
      <c r="R76" s="8"/>
    </row>
    <row r="77" spans="1:18" ht="33" customHeight="1">
      <c r="A77" s="217"/>
      <c r="B77" s="218" t="s">
        <v>24</v>
      </c>
      <c r="C77" s="218"/>
      <c r="D77" s="218"/>
      <c r="E77" s="218"/>
      <c r="F77" s="219"/>
      <c r="G77" s="220"/>
      <c r="H77" s="221"/>
      <c r="I77" s="218"/>
      <c r="J77" s="274">
        <f t="shared" ref="J77:P77" si="14">J23+J26+J37+J63+J76</f>
        <v>13644150.699999999</v>
      </c>
      <c r="K77" s="274">
        <f t="shared" si="14"/>
        <v>15354612.059999999</v>
      </c>
      <c r="L77" s="274">
        <f t="shared" si="14"/>
        <v>13714969.579999996</v>
      </c>
      <c r="M77" s="274">
        <f t="shared" si="14"/>
        <v>29196081.970000003</v>
      </c>
      <c r="N77" s="274">
        <f t="shared" si="14"/>
        <v>12456691.630000001</v>
      </c>
      <c r="O77" s="274">
        <f t="shared" si="14"/>
        <v>12456691.630000001</v>
      </c>
      <c r="P77" s="274">
        <f t="shared" si="14"/>
        <v>96823197.569999993</v>
      </c>
      <c r="Q77" s="218"/>
      <c r="R77" s="8"/>
    </row>
    <row r="78" spans="1:18">
      <c r="A78" s="103"/>
      <c r="B78" s="125" t="s">
        <v>25</v>
      </c>
      <c r="C78" s="125"/>
      <c r="D78" s="125"/>
      <c r="E78" s="125"/>
      <c r="F78" s="158"/>
      <c r="G78" s="159"/>
      <c r="H78" s="223"/>
      <c r="I78" s="125"/>
      <c r="J78" s="275"/>
      <c r="K78" s="176"/>
      <c r="L78" s="176"/>
      <c r="M78" s="179"/>
      <c r="N78" s="176"/>
      <c r="O78" s="176"/>
      <c r="P78" s="176"/>
      <c r="Q78" s="125"/>
    </row>
    <row r="79" spans="1:18" s="54" customFormat="1">
      <c r="A79" s="103"/>
      <c r="B79" s="125" t="s">
        <v>168</v>
      </c>
      <c r="C79" s="125"/>
      <c r="D79" s="125"/>
      <c r="E79" s="125"/>
      <c r="F79" s="158"/>
      <c r="G79" s="159"/>
      <c r="H79" s="223"/>
      <c r="I79" s="125"/>
      <c r="J79" s="275"/>
      <c r="K79" s="176"/>
      <c r="L79" s="176">
        <f>L21</f>
        <v>35360</v>
      </c>
      <c r="M79" s="179"/>
      <c r="N79" s="176"/>
      <c r="O79" s="176"/>
      <c r="P79" s="176">
        <f>SUM(J79:M79)</f>
        <v>35360</v>
      </c>
      <c r="Q79" s="125"/>
    </row>
    <row r="80" spans="1:18" ht="21.75" customHeight="1">
      <c r="A80" s="103"/>
      <c r="B80" s="126" t="s">
        <v>169</v>
      </c>
      <c r="C80" s="125"/>
      <c r="D80" s="125"/>
      <c r="E80" s="125"/>
      <c r="F80" s="158"/>
      <c r="G80" s="159"/>
      <c r="H80" s="223"/>
      <c r="I80" s="125"/>
      <c r="J80" s="275">
        <f>425269.2+65974.35+400000+76955.72</f>
        <v>968199.27</v>
      </c>
      <c r="K80" s="176">
        <f>K11+K13+K15+K19+K54+K55+K56+K73</f>
        <v>1262658.05</v>
      </c>
      <c r="L80" s="176">
        <f>L11+L13+L15+L48+L74+L75</f>
        <v>877730.3</v>
      </c>
      <c r="M80" s="179">
        <f>M11+M13+M59+M60+M14+M35+M75+M74</f>
        <v>12946124.140000001</v>
      </c>
      <c r="N80" s="176"/>
      <c r="O80" s="176"/>
      <c r="P80" s="176">
        <f>SUM(J80:M80)</f>
        <v>16054711.760000002</v>
      </c>
      <c r="Q80" s="125"/>
    </row>
    <row r="81" spans="1:18" ht="30" customHeight="1">
      <c r="A81" s="103"/>
      <c r="B81" s="125" t="s">
        <v>170</v>
      </c>
      <c r="C81" s="125"/>
      <c r="D81" s="125"/>
      <c r="E81" s="125"/>
      <c r="F81" s="158"/>
      <c r="G81" s="159"/>
      <c r="H81" s="223"/>
      <c r="I81" s="125"/>
      <c r="J81" s="275">
        <f>J77-J80</f>
        <v>12675951.43</v>
      </c>
      <c r="K81" s="275">
        <f>K77-K80</f>
        <v>14091954.009999998</v>
      </c>
      <c r="L81" s="176">
        <f>L77-L80-L79</f>
        <v>12801879.279999996</v>
      </c>
      <c r="M81" s="179">
        <f>M77-M80</f>
        <v>16249957.830000002</v>
      </c>
      <c r="N81" s="176">
        <f>N77</f>
        <v>12456691.630000001</v>
      </c>
      <c r="O81" s="176">
        <f>O77</f>
        <v>12456691.630000001</v>
      </c>
      <c r="P81" s="176">
        <f>SUM(J81:O81)</f>
        <v>80733125.809999987</v>
      </c>
      <c r="Q81" s="125"/>
      <c r="R81" s="8"/>
    </row>
    <row r="82" spans="1:18" s="11" customFormat="1" ht="35.25" customHeight="1">
      <c r="A82" s="17"/>
      <c r="M82" s="457"/>
    </row>
    <row r="83" spans="1:18" s="11" customFormat="1" ht="35.25" customHeight="1">
      <c r="A83" s="561"/>
      <c r="B83" s="561"/>
      <c r="C83" s="561"/>
      <c r="D83" s="561"/>
      <c r="E83" s="561"/>
      <c r="F83" s="561"/>
      <c r="G83" s="561"/>
      <c r="H83" s="561"/>
      <c r="I83" s="561"/>
      <c r="J83" s="10"/>
      <c r="K83" s="10"/>
      <c r="L83" s="10"/>
      <c r="M83" s="455"/>
      <c r="N83" s="10"/>
      <c r="O83" s="10"/>
      <c r="P83" s="10"/>
    </row>
    <row r="84" spans="1:18" s="11" customFormat="1" ht="35.25" customHeight="1">
      <c r="A84" s="17"/>
      <c r="M84" s="457"/>
    </row>
    <row r="85" spans="1:18" s="11" customFormat="1" ht="35.25" customHeight="1">
      <c r="A85" s="17"/>
      <c r="J85" s="10"/>
      <c r="M85" s="457"/>
    </row>
    <row r="86" spans="1:18">
      <c r="J86" s="8"/>
      <c r="R86" s="8"/>
    </row>
  </sheetData>
  <mergeCells count="38">
    <mergeCell ref="T19:U19"/>
    <mergeCell ref="T20:U20"/>
    <mergeCell ref="M1:Q1"/>
    <mergeCell ref="T17:U17"/>
    <mergeCell ref="Q9:Q12"/>
    <mergeCell ref="M2:Q2"/>
    <mergeCell ref="A3:Q3"/>
    <mergeCell ref="A5:A6"/>
    <mergeCell ref="B5:B6"/>
    <mergeCell ref="C5:C6"/>
    <mergeCell ref="D5:I5"/>
    <mergeCell ref="J5:P5"/>
    <mergeCell ref="Q5:Q6"/>
    <mergeCell ref="F6:H6"/>
    <mergeCell ref="Q65:Q70"/>
    <mergeCell ref="Q28:Q29"/>
    <mergeCell ref="B30:B31"/>
    <mergeCell ref="Q30:Q31"/>
    <mergeCell ref="C39:C40"/>
    <mergeCell ref="Q39:Q40"/>
    <mergeCell ref="B64:P64"/>
    <mergeCell ref="B43:B48"/>
    <mergeCell ref="B65:B75"/>
    <mergeCell ref="A83:I83"/>
    <mergeCell ref="B7:P7"/>
    <mergeCell ref="B8:P8"/>
    <mergeCell ref="B24:P24"/>
    <mergeCell ref="B39:B40"/>
    <mergeCell ref="B27:P27"/>
    <mergeCell ref="B38:P38"/>
    <mergeCell ref="B28:B29"/>
    <mergeCell ref="A43:A45"/>
    <mergeCell ref="B32:B33"/>
    <mergeCell ref="A32:A33"/>
    <mergeCell ref="A39:A40"/>
    <mergeCell ref="A9:A13"/>
    <mergeCell ref="A28:A29"/>
    <mergeCell ref="A30:A31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50" fitToWidth="4" fitToHeight="17" orientation="landscape" r:id="rId1"/>
  <headerFooter alignWithMargins="0"/>
  <rowBreaks count="3" manualBreakCount="3">
    <brk id="14" max="14" man="1"/>
    <brk id="31" max="14" man="1"/>
    <brk id="48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>
      <selection activeCell="F30" sqref="F30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 2</vt:lpstr>
      <vt:lpstr>прил 1</vt:lpstr>
      <vt:lpstr>прил 3</vt:lpstr>
      <vt:lpstr>прил 4</vt:lpstr>
      <vt:lpstr>ПП3</vt:lpstr>
      <vt:lpstr>Лист1</vt:lpstr>
      <vt:lpstr>'прил 1'!Заголовки_для_печати</vt:lpstr>
      <vt:lpstr>'прил 2'!Заголовки_для_печати</vt:lpstr>
      <vt:lpstr>'прил 3'!Заголовки_для_печати</vt:lpstr>
      <vt:lpstr>ПП3!Область_печати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Савицкая Ольга Евгеньевна</cp:lastModifiedBy>
  <cp:lastPrinted>2017-12-19T07:46:37Z</cp:lastPrinted>
  <dcterms:created xsi:type="dcterms:W3CDTF">2013-07-29T03:10:57Z</dcterms:created>
  <dcterms:modified xsi:type="dcterms:W3CDTF">2017-12-27T03:18:45Z</dcterms:modified>
</cp:coreProperties>
</file>