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740" windowWidth="15480" windowHeight="10200" tabRatio="851" activeTab="1"/>
  </bookViews>
  <sheets>
    <sheet name="приложение 2" sheetId="9" r:id="rId1"/>
    <sheet name="приложение 1" sheetId="8" r:id="rId2"/>
    <sheet name="Приложение 3" sheetId="6" r:id="rId3"/>
    <sheet name="Приложение 4" sheetId="7" r:id="rId4"/>
    <sheet name="Лист1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'приложение 1'!$5:$6</definedName>
    <definedName name="_xlnm.Print_Titles" localSheetId="0">'приложение 2'!$5:$6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1">'приложение 1'!$A$1:$O$25</definedName>
    <definedName name="_xlnm.Print_Area" localSheetId="0">'приложение 2'!$A$1:$Q$156</definedName>
    <definedName name="_xlnm.Print_Area" localSheetId="2">'Приложение 3'!$A$1:$P$54</definedName>
    <definedName name="_xlnm.Print_Area" localSheetId="3">'Приложение 4'!$A$1:$P$68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 refMode="R1C1"/>
</workbook>
</file>

<file path=xl/calcChain.xml><?xml version="1.0" encoding="utf-8"?>
<calcChain xmlns="http://schemas.openxmlformats.org/spreadsheetml/2006/main">
  <c r="M124" i="9" l="1"/>
  <c r="M82" i="9"/>
  <c r="L39" i="6"/>
  <c r="L33" i="7"/>
  <c r="P95" i="9"/>
  <c r="M95" i="9"/>
  <c r="M9" i="9" s="1"/>
  <c r="M96" i="9"/>
  <c r="O66" i="7"/>
  <c r="L66" i="7"/>
  <c r="P112" i="9"/>
  <c r="P111" i="9"/>
  <c r="O21" i="7"/>
  <c r="O20" i="7"/>
  <c r="L60" i="7"/>
  <c r="M151" i="9"/>
  <c r="L23" i="8" l="1"/>
  <c r="O23" i="8" s="1"/>
  <c r="L40" i="6"/>
  <c r="M83" i="9"/>
  <c r="L13" i="8"/>
  <c r="M32" i="9"/>
  <c r="M14" i="9" s="1"/>
  <c r="M21" i="9"/>
  <c r="M84" i="9"/>
  <c r="M78" i="9"/>
  <c r="M77" i="9"/>
  <c r="P77" i="9" s="1"/>
  <c r="M76" i="9"/>
  <c r="L41" i="6"/>
  <c r="L33" i="6"/>
  <c r="L35" i="6"/>
  <c r="L34" i="6"/>
  <c r="M19" i="9"/>
  <c r="L8" i="8" l="1"/>
  <c r="P61" i="9"/>
  <c r="P28" i="9"/>
  <c r="M27" i="9"/>
  <c r="M15" i="9" s="1"/>
  <c r="O18" i="6"/>
  <c r="M103" i="9"/>
  <c r="M100" i="9"/>
  <c r="M60" i="9"/>
  <c r="M58" i="9"/>
  <c r="N58" i="9" s="1"/>
  <c r="M54" i="9"/>
  <c r="M52" i="9"/>
  <c r="N52" i="9" s="1"/>
  <c r="M42" i="9"/>
  <c r="M40" i="9"/>
  <c r="M26" i="9"/>
  <c r="M25" i="9"/>
  <c r="M18" i="9"/>
  <c r="L11" i="6"/>
  <c r="L9" i="6"/>
  <c r="M9" i="6" s="1"/>
  <c r="L12" i="7"/>
  <c r="L9" i="7"/>
  <c r="L17" i="6"/>
  <c r="L15" i="6"/>
  <c r="M15" i="6" s="1"/>
  <c r="M55" i="9"/>
  <c r="L12" i="6"/>
  <c r="L13" i="7"/>
  <c r="L67" i="7" s="1"/>
  <c r="L22" i="7" l="1"/>
  <c r="M113" i="9"/>
  <c r="P27" i="9"/>
  <c r="L14" i="8"/>
  <c r="L24" i="8"/>
  <c r="M59" i="9"/>
  <c r="M49" i="9" s="1"/>
  <c r="M10" i="9" s="1"/>
  <c r="L16" i="6"/>
  <c r="L24" i="6" s="1"/>
  <c r="M29" i="9"/>
  <c r="M150" i="9"/>
  <c r="L151" i="9"/>
  <c r="M79" i="9"/>
  <c r="P78" i="9"/>
  <c r="P75" i="9"/>
  <c r="K72" i="9"/>
  <c r="P72" i="9"/>
  <c r="K73" i="9"/>
  <c r="K74" i="9"/>
  <c r="P74" i="9" s="1"/>
  <c r="P76" i="9"/>
  <c r="L79" i="9"/>
  <c r="N79" i="9"/>
  <c r="O35" i="6"/>
  <c r="O32" i="6"/>
  <c r="L59" i="7"/>
  <c r="O34" i="6"/>
  <c r="L31" i="6" l="1"/>
  <c r="N21" i="9"/>
  <c r="N39" i="6"/>
  <c r="O82" i="9"/>
  <c r="L128" i="9"/>
  <c r="L84" i="9"/>
  <c r="L26" i="9"/>
  <c r="L25" i="9"/>
  <c r="L24" i="9"/>
  <c r="L23" i="9"/>
  <c r="L18" i="9"/>
  <c r="K60" i="7"/>
  <c r="K55" i="7"/>
  <c r="K58" i="7"/>
  <c r="K56" i="7"/>
  <c r="K57" i="7"/>
  <c r="L53" i="6" l="1"/>
  <c r="L36" i="6"/>
  <c r="L19" i="8"/>
  <c r="K37" i="7"/>
  <c r="K13" i="7"/>
  <c r="K12" i="7"/>
  <c r="K11" i="7"/>
  <c r="K9" i="7"/>
  <c r="K41" i="6"/>
  <c r="K17" i="6"/>
  <c r="K16" i="6"/>
  <c r="K15" i="6"/>
  <c r="K12" i="6"/>
  <c r="K11" i="6"/>
  <c r="K10" i="6"/>
  <c r="K9" i="6"/>
  <c r="P149" i="9" l="1"/>
  <c r="P147" i="9"/>
  <c r="O58" i="7"/>
  <c r="O56" i="7"/>
  <c r="O19" i="9" l="1"/>
  <c r="M38" i="9" l="1"/>
  <c r="K50" i="7" l="1"/>
  <c r="L21" i="9" l="1"/>
  <c r="P34" i="9"/>
  <c r="L29" i="9"/>
  <c r="P26" i="9"/>
  <c r="O55" i="7" l="1"/>
  <c r="M39" i="6" l="1"/>
  <c r="O124" i="9"/>
  <c r="O125" i="9" s="1"/>
  <c r="N124" i="9"/>
  <c r="N125" i="9" s="1"/>
  <c r="O84" i="9"/>
  <c r="N84" i="9"/>
  <c r="N82" i="9"/>
  <c r="M125" i="9"/>
  <c r="M67" i="9"/>
  <c r="N41" i="6" l="1"/>
  <c r="M41" i="6"/>
  <c r="N33" i="7"/>
  <c r="N151" i="9" l="1"/>
  <c r="O151" i="9"/>
  <c r="P148" i="9"/>
  <c r="P24" i="9"/>
  <c r="P19" i="9"/>
  <c r="O41" i="6"/>
  <c r="O57" i="7"/>
  <c r="M59" i="7"/>
  <c r="N59" i="7"/>
  <c r="M61" i="7"/>
  <c r="N61" i="7"/>
  <c r="L61" i="7"/>
  <c r="L31" i="9"/>
  <c r="L15" i="9" s="1"/>
  <c r="O14" i="9" l="1"/>
  <c r="N14" i="9"/>
  <c r="L124" i="9" l="1"/>
  <c r="K33" i="7" l="1"/>
  <c r="P153" i="9"/>
  <c r="P120" i="9"/>
  <c r="P121" i="9"/>
  <c r="P122" i="9"/>
  <c r="P123" i="9"/>
  <c r="P124" i="9"/>
  <c r="P101" i="9"/>
  <c r="P105" i="9"/>
  <c r="P106" i="9"/>
  <c r="P108" i="9"/>
  <c r="P109" i="9"/>
  <c r="P110" i="9"/>
  <c r="P94" i="9"/>
  <c r="P98" i="9"/>
  <c r="P43" i="9"/>
  <c r="P44" i="9"/>
  <c r="P20" i="9"/>
  <c r="P22" i="9"/>
  <c r="P30" i="9"/>
  <c r="P33" i="9"/>
  <c r="P35" i="9"/>
  <c r="P36" i="9"/>
  <c r="P37" i="9"/>
  <c r="P8" i="9"/>
  <c r="P13" i="9"/>
  <c r="O154" i="9"/>
  <c r="P86" i="9"/>
  <c r="P91" i="9"/>
  <c r="P57" i="9"/>
  <c r="P62" i="9"/>
  <c r="P63" i="9"/>
  <c r="P64" i="9"/>
  <c r="P65" i="9"/>
  <c r="P66" i="9"/>
  <c r="O92" i="9" l="1"/>
  <c r="O89" i="9"/>
  <c r="O88" i="9"/>
  <c r="O87" i="9"/>
  <c r="O85" i="9"/>
  <c r="O9" i="9"/>
  <c r="O8" i="8"/>
  <c r="O11" i="8"/>
  <c r="O16" i="8"/>
  <c r="O18" i="8"/>
  <c r="O21" i="8"/>
  <c r="N19" i="8"/>
  <c r="N9" i="8" s="1"/>
  <c r="O33" i="7"/>
  <c r="O14" i="7"/>
  <c r="O15" i="7"/>
  <c r="O17" i="7"/>
  <c r="O18" i="7"/>
  <c r="O19" i="7"/>
  <c r="O10" i="7"/>
  <c r="O14" i="6"/>
  <c r="N49" i="6"/>
  <c r="N36" i="6"/>
  <c r="N63" i="7"/>
  <c r="L53" i="7"/>
  <c r="M53" i="7"/>
  <c r="N53" i="7"/>
  <c r="N34" i="7"/>
  <c r="M25" i="7"/>
  <c r="N25" i="7"/>
  <c r="K43" i="7"/>
  <c r="K44" i="7"/>
  <c r="L143" i="9"/>
  <c r="L133" i="9"/>
  <c r="K42" i="7"/>
  <c r="P84" i="9"/>
  <c r="O12" i="7"/>
  <c r="L82" i="9"/>
  <c r="P82" i="9" s="1"/>
  <c r="K39" i="6"/>
  <c r="O39" i="6" s="1"/>
  <c r="K62" i="7" l="1"/>
  <c r="O62" i="7" s="1"/>
  <c r="P142" i="9"/>
  <c r="P143" i="9"/>
  <c r="L141" i="9"/>
  <c r="L144" i="9" s="1"/>
  <c r="K52" i="7"/>
  <c r="O52" i="7" s="1"/>
  <c r="O51" i="7"/>
  <c r="O50" i="7"/>
  <c r="P141" i="9" l="1"/>
  <c r="K67" i="7"/>
  <c r="K53" i="7"/>
  <c r="P25" i="9"/>
  <c r="P54" i="9"/>
  <c r="P103" i="9"/>
  <c r="P42" i="9"/>
  <c r="P60" i="9"/>
  <c r="P23" i="9"/>
  <c r="L96" i="9"/>
  <c r="L152" i="9"/>
  <c r="P152" i="9" s="1"/>
  <c r="K53" i="6"/>
  <c r="K61" i="7"/>
  <c r="O61" i="7" s="1"/>
  <c r="O33" i="6"/>
  <c r="L32" i="9"/>
  <c r="L38" i="9" s="1"/>
  <c r="L14" i="9" l="1"/>
  <c r="P14" i="9" s="1"/>
  <c r="P32" i="9"/>
  <c r="L49" i="9"/>
  <c r="K36" i="6"/>
  <c r="L83" i="9"/>
  <c r="P83" i="9" s="1"/>
  <c r="K40" i="6"/>
  <c r="O40" i="6" s="1"/>
  <c r="R17" i="7"/>
  <c r="K24" i="6" l="1"/>
  <c r="O43" i="7"/>
  <c r="O44" i="7"/>
  <c r="K22" i="7" l="1"/>
  <c r="L113" i="9"/>
  <c r="L67" i="9" l="1"/>
  <c r="K49" i="6"/>
  <c r="K63" i="7" l="1"/>
  <c r="L154" i="9" l="1"/>
  <c r="L10" i="9"/>
  <c r="K24" i="8"/>
  <c r="M154" i="9" l="1"/>
  <c r="N154" i="9"/>
  <c r="P135" i="9" l="1"/>
  <c r="P134" i="9"/>
  <c r="K96" i="9" l="1"/>
  <c r="P146" i="9"/>
  <c r="K102" i="9"/>
  <c r="P102" i="9" s="1"/>
  <c r="K100" i="9"/>
  <c r="K49" i="9"/>
  <c r="P81" i="9"/>
  <c r="K58" i="9"/>
  <c r="K55" i="9"/>
  <c r="P55" i="9" s="1"/>
  <c r="K53" i="9"/>
  <c r="P53" i="9" s="1"/>
  <c r="K15" i="9"/>
  <c r="K41" i="9"/>
  <c r="P41" i="9" s="1"/>
  <c r="K21" i="9"/>
  <c r="J24" i="8"/>
  <c r="O24" i="8" s="1"/>
  <c r="J19" i="8"/>
  <c r="J14" i="8"/>
  <c r="J67" i="7"/>
  <c r="J53" i="6"/>
  <c r="J13" i="6"/>
  <c r="O13" i="6" s="1"/>
  <c r="J9" i="7"/>
  <c r="J11" i="7"/>
  <c r="O11" i="7" s="1"/>
  <c r="O21" i="9" l="1"/>
  <c r="J17" i="6"/>
  <c r="O17" i="6" s="1"/>
  <c r="J11" i="6"/>
  <c r="O11" i="6" s="1"/>
  <c r="J10" i="6"/>
  <c r="O10" i="6" s="1"/>
  <c r="J12" i="6"/>
  <c r="O12" i="6" s="1"/>
  <c r="O23" i="6"/>
  <c r="O22" i="6"/>
  <c r="J15" i="6"/>
  <c r="P21" i="9" l="1"/>
  <c r="K14" i="8"/>
  <c r="O14" i="8" s="1"/>
  <c r="K13" i="8" l="1"/>
  <c r="O13" i="8" s="1"/>
  <c r="L9" i="9"/>
  <c r="P9" i="9" l="1"/>
  <c r="P96" i="9"/>
  <c r="K48" i="9"/>
  <c r="P48" i="9" s="1"/>
  <c r="O52" i="6" l="1"/>
  <c r="O41" i="7" l="1"/>
  <c r="P132" i="9"/>
  <c r="J47" i="6"/>
  <c r="J49" i="6" s="1"/>
  <c r="K90" i="9"/>
  <c r="P90" i="9" s="1"/>
  <c r="N89" i="9"/>
  <c r="M89" i="9"/>
  <c r="L89" i="9"/>
  <c r="N88" i="9"/>
  <c r="M88" i="9"/>
  <c r="L88" i="9"/>
  <c r="N87" i="9"/>
  <c r="M87" i="9"/>
  <c r="L87" i="9"/>
  <c r="N85" i="9"/>
  <c r="M85" i="9"/>
  <c r="L85" i="9"/>
  <c r="M42" i="6"/>
  <c r="L42" i="6"/>
  <c r="L46" i="6"/>
  <c r="M46" i="6"/>
  <c r="K46" i="6"/>
  <c r="L45" i="6"/>
  <c r="M45" i="6"/>
  <c r="L44" i="6"/>
  <c r="M44" i="6"/>
  <c r="O43" i="6"/>
  <c r="K42" i="6"/>
  <c r="K45" i="6"/>
  <c r="K44" i="6"/>
  <c r="P87" i="9" l="1"/>
  <c r="P89" i="9"/>
  <c r="P85" i="9"/>
  <c r="P88" i="9"/>
  <c r="K92" i="9"/>
  <c r="L49" i="6"/>
  <c r="O38" i="6"/>
  <c r="M49" i="6"/>
  <c r="O45" i="6"/>
  <c r="L92" i="9"/>
  <c r="N92" i="9"/>
  <c r="M92" i="9"/>
  <c r="M46" i="9" s="1"/>
  <c r="M50" i="9" s="1"/>
  <c r="L20" i="8" s="1"/>
  <c r="O44" i="6"/>
  <c r="O42" i="6"/>
  <c r="O46" i="6"/>
  <c r="P92" i="9" l="1"/>
  <c r="O49" i="6"/>
  <c r="N38" i="9" l="1"/>
  <c r="O18" i="9" l="1"/>
  <c r="M19" i="8"/>
  <c r="M9" i="8" s="1"/>
  <c r="P137" i="9"/>
  <c r="P136" i="9"/>
  <c r="P127" i="9"/>
  <c r="O48" i="6"/>
  <c r="O21" i="6"/>
  <c r="O20" i="6"/>
  <c r="O19" i="6"/>
  <c r="O48" i="7"/>
  <c r="O46" i="7"/>
  <c r="O45" i="7"/>
  <c r="O36" i="7"/>
  <c r="O29" i="7"/>
  <c r="O30" i="7"/>
  <c r="O31" i="7"/>
  <c r="O32" i="7"/>
  <c r="M63" i="7"/>
  <c r="M34" i="7"/>
  <c r="M36" i="6"/>
  <c r="N116" i="9"/>
  <c r="N144" i="9"/>
  <c r="O52" i="9"/>
  <c r="M45" i="9"/>
  <c r="M12" i="9" s="1"/>
  <c r="L45" i="9"/>
  <c r="L15" i="8" l="1"/>
  <c r="L12" i="8" s="1"/>
  <c r="O38" i="9"/>
  <c r="K15" i="8"/>
  <c r="K12" i="8" s="1"/>
  <c r="O58" i="9"/>
  <c r="P58" i="9" s="1"/>
  <c r="N113" i="9"/>
  <c r="N93" i="9" s="1"/>
  <c r="O100" i="9"/>
  <c r="O113" i="9" s="1"/>
  <c r="P18" i="9"/>
  <c r="N15" i="8"/>
  <c r="N12" i="8" s="1"/>
  <c r="N9" i="6"/>
  <c r="N15" i="6"/>
  <c r="L12" i="9"/>
  <c r="N67" i="9"/>
  <c r="N46" i="9" s="1"/>
  <c r="N50" i="9" s="1"/>
  <c r="M24" i="6"/>
  <c r="M50" i="6" s="1"/>
  <c r="M54" i="6" s="1"/>
  <c r="M20" i="8" s="1"/>
  <c r="M17" i="8" s="1"/>
  <c r="O67" i="9" l="1"/>
  <c r="O46" i="9" s="1"/>
  <c r="O50" i="9" s="1"/>
  <c r="P100" i="9"/>
  <c r="N24" i="6"/>
  <c r="N50" i="6" s="1"/>
  <c r="N54" i="6" s="1"/>
  <c r="N20" i="8" s="1"/>
  <c r="N17" i="8" s="1"/>
  <c r="N97" i="9"/>
  <c r="N45" i="9"/>
  <c r="N12" i="9" s="1"/>
  <c r="N16" i="9" s="1"/>
  <c r="N11" i="9" s="1"/>
  <c r="O40" i="9"/>
  <c r="O45" i="9" s="1"/>
  <c r="O12" i="9" s="1"/>
  <c r="O16" i="9" s="1"/>
  <c r="O93" i="9"/>
  <c r="O97" i="9"/>
  <c r="O15" i="6"/>
  <c r="M22" i="7"/>
  <c r="N9" i="7"/>
  <c r="N22" i="7" s="1"/>
  <c r="N64" i="7" s="1"/>
  <c r="N68" i="7" s="1"/>
  <c r="N25" i="8" s="1"/>
  <c r="L16" i="9"/>
  <c r="M15" i="8"/>
  <c r="O11" i="9" l="1"/>
  <c r="O7" i="9" s="1"/>
  <c r="N7" i="9"/>
  <c r="O9" i="7"/>
  <c r="N22" i="8"/>
  <c r="N10" i="8"/>
  <c r="N7" i="8" s="1"/>
  <c r="M64" i="7"/>
  <c r="M68" i="7" s="1"/>
  <c r="M25" i="8" s="1"/>
  <c r="M22" i="8" s="1"/>
  <c r="M12" i="8"/>
  <c r="P49" i="9"/>
  <c r="M10" i="8" l="1"/>
  <c r="M7" i="8" s="1"/>
  <c r="O53" i="6"/>
  <c r="K107" i="9" l="1"/>
  <c r="P107" i="9" s="1"/>
  <c r="J16" i="7" l="1"/>
  <c r="O16" i="7" s="1"/>
  <c r="O67" i="7" l="1"/>
  <c r="K138" i="9" l="1"/>
  <c r="K140" i="9"/>
  <c r="K71" i="9"/>
  <c r="P71" i="9" s="1"/>
  <c r="K70" i="9"/>
  <c r="K69" i="9"/>
  <c r="J47" i="7"/>
  <c r="O47" i="7" s="1"/>
  <c r="J49" i="7"/>
  <c r="O49" i="7" s="1"/>
  <c r="J31" i="6"/>
  <c r="O31" i="6" s="1"/>
  <c r="J30" i="6"/>
  <c r="O30" i="6" s="1"/>
  <c r="J29" i="6"/>
  <c r="O29" i="6" s="1"/>
  <c r="J28" i="6"/>
  <c r="O28" i="6" s="1"/>
  <c r="J27" i="6"/>
  <c r="O27" i="6" s="1"/>
  <c r="J26" i="6"/>
  <c r="K79" i="9" l="1"/>
  <c r="J36" i="6"/>
  <c r="P140" i="9"/>
  <c r="O26" i="6"/>
  <c r="O36" i="6" s="1"/>
  <c r="U11" i="9"/>
  <c r="K10" i="9" l="1"/>
  <c r="K31" i="9" l="1"/>
  <c r="P31" i="9" s="1"/>
  <c r="K133" i="9"/>
  <c r="P133" i="9" s="1"/>
  <c r="K128" i="9"/>
  <c r="P138" i="9" s="1"/>
  <c r="K131" i="9"/>
  <c r="P131" i="9" s="1"/>
  <c r="K151" i="9"/>
  <c r="P151" i="9" s="1"/>
  <c r="J40" i="7"/>
  <c r="O40" i="7" s="1"/>
  <c r="J60" i="7"/>
  <c r="O60" i="7" s="1"/>
  <c r="J37" i="7"/>
  <c r="J42" i="7"/>
  <c r="O42" i="7" s="1"/>
  <c r="J53" i="7" l="1"/>
  <c r="O53" i="7" s="1"/>
  <c r="O37" i="7"/>
  <c r="P128" i="9"/>
  <c r="K144" i="9"/>
  <c r="J13" i="7"/>
  <c r="O13" i="7" s="1"/>
  <c r="K104" i="9"/>
  <c r="P104" i="9" s="1"/>
  <c r="K56" i="9"/>
  <c r="P56" i="9" s="1"/>
  <c r="J9" i="8" l="1"/>
  <c r="O47" i="6"/>
  <c r="J16" i="6"/>
  <c r="O16" i="6" s="1"/>
  <c r="J9" i="6"/>
  <c r="O9" i="6" s="1"/>
  <c r="J24" i="6" l="1"/>
  <c r="O24" i="6" s="1"/>
  <c r="J22" i="7"/>
  <c r="O22" i="7" s="1"/>
  <c r="K59" i="9"/>
  <c r="P59" i="9" s="1"/>
  <c r="K52" i="9"/>
  <c r="P52" i="9" s="1"/>
  <c r="K40" i="9"/>
  <c r="P40" i="9" l="1"/>
  <c r="K45" i="9"/>
  <c r="P45" i="9" s="1"/>
  <c r="K67" i="9"/>
  <c r="J50" i="6"/>
  <c r="J54" i="6" s="1"/>
  <c r="J20" i="8" s="1"/>
  <c r="J17" i="8" s="1"/>
  <c r="K113" i="9"/>
  <c r="P113" i="9" s="1"/>
  <c r="P67" i="9" l="1"/>
  <c r="K46" i="9"/>
  <c r="K50" i="9" s="1"/>
  <c r="K119" i="9"/>
  <c r="P119" i="9" s="1"/>
  <c r="K118" i="9"/>
  <c r="P118" i="9" s="1"/>
  <c r="K29" i="9"/>
  <c r="J27" i="7"/>
  <c r="J28" i="7"/>
  <c r="O28" i="7" s="1"/>
  <c r="K150" i="9"/>
  <c r="J59" i="7"/>
  <c r="P47" i="9"/>
  <c r="M144" i="9"/>
  <c r="P139" i="9"/>
  <c r="P130" i="9"/>
  <c r="P129" i="9"/>
  <c r="L125" i="9"/>
  <c r="M116" i="9"/>
  <c r="M97" i="9" s="1"/>
  <c r="L116" i="9"/>
  <c r="L93" i="9" s="1"/>
  <c r="K116" i="9"/>
  <c r="P115" i="9"/>
  <c r="P116" i="9" s="1"/>
  <c r="P69" i="9"/>
  <c r="P79" i="9" s="1"/>
  <c r="O59" i="7" l="1"/>
  <c r="J63" i="7"/>
  <c r="M93" i="9"/>
  <c r="P150" i="9"/>
  <c r="K154" i="9"/>
  <c r="P154" i="9" s="1"/>
  <c r="M16" i="9"/>
  <c r="P29" i="9"/>
  <c r="K38" i="9"/>
  <c r="P38" i="9" s="1"/>
  <c r="P15" i="9"/>
  <c r="P144" i="9"/>
  <c r="P125" i="9"/>
  <c r="L97" i="9"/>
  <c r="J34" i="7"/>
  <c r="O27" i="7"/>
  <c r="O34" i="7" s="1"/>
  <c r="K125" i="9"/>
  <c r="L46" i="9"/>
  <c r="L50" i="9" l="1"/>
  <c r="P46" i="9"/>
  <c r="K12" i="9"/>
  <c r="K16" i="9" s="1"/>
  <c r="M11" i="9"/>
  <c r="K97" i="9"/>
  <c r="K93" i="9"/>
  <c r="P93" i="9" s="1"/>
  <c r="P97" i="9" l="1"/>
  <c r="P12" i="9"/>
  <c r="P16" i="9"/>
  <c r="L11" i="9"/>
  <c r="P50" i="9"/>
  <c r="K11" i="9"/>
  <c r="K7" i="9" s="1"/>
  <c r="P10" i="9"/>
  <c r="M7" i="9" l="1"/>
  <c r="P11" i="9"/>
  <c r="L7" i="9"/>
  <c r="P7" i="9" l="1"/>
  <c r="K34" i="7"/>
  <c r="L34" i="7"/>
  <c r="O39" i="7" l="1"/>
  <c r="R39" i="7"/>
  <c r="Q39" i="7"/>
  <c r="R38" i="7"/>
  <c r="Q38" i="7"/>
  <c r="O38" i="7"/>
  <c r="L25" i="7"/>
  <c r="K25" i="7"/>
  <c r="K64" i="7" s="1"/>
  <c r="K68" i="7" s="1"/>
  <c r="J25" i="7"/>
  <c r="J64" i="7" s="1"/>
  <c r="J68" i="7" s="1"/>
  <c r="O24" i="7"/>
  <c r="O25" i="7" s="1"/>
  <c r="R16" i="7"/>
  <c r="Q16" i="7"/>
  <c r="R14" i="7"/>
  <c r="L9" i="8"/>
  <c r="K50" i="6"/>
  <c r="K54" i="6" s="1"/>
  <c r="Q4" i="8"/>
  <c r="K19" i="8"/>
  <c r="K9" i="8" l="1"/>
  <c r="O9" i="8" s="1"/>
  <c r="O19" i="8"/>
  <c r="J15" i="8"/>
  <c r="J12" i="8" s="1"/>
  <c r="O12" i="8" s="1"/>
  <c r="L63" i="7"/>
  <c r="L64" i="7" s="1"/>
  <c r="L68" i="7" s="1"/>
  <c r="L50" i="6"/>
  <c r="L54" i="6" s="1"/>
  <c r="K20" i="8"/>
  <c r="O63" i="7" l="1"/>
  <c r="O54" i="6"/>
  <c r="K17" i="8"/>
  <c r="O64" i="7"/>
  <c r="L17" i="8" l="1"/>
  <c r="O17" i="8" s="1"/>
  <c r="O20" i="8"/>
  <c r="L25" i="8"/>
  <c r="L22" i="8" s="1"/>
  <c r="O68" i="7"/>
  <c r="K25" i="8"/>
  <c r="L10" i="8" l="1"/>
  <c r="L7" i="8" s="1"/>
  <c r="K10" i="8"/>
  <c r="K7" i="8" s="1"/>
  <c r="K22" i="8"/>
  <c r="O15" i="8" l="1"/>
  <c r="R5" i="8"/>
  <c r="R6" i="8" s="1"/>
  <c r="S5" i="8" l="1"/>
  <c r="S6" i="8" s="1"/>
  <c r="J25" i="8" l="1"/>
  <c r="O25" i="8" s="1"/>
  <c r="J10" i="8" l="1"/>
  <c r="J22" i="8"/>
  <c r="O22" i="8" s="1"/>
  <c r="J7" i="8" l="1"/>
  <c r="O7" i="8" s="1"/>
  <c r="O10" i="8"/>
  <c r="O50" i="6"/>
  <c r="Q5" i="8" l="1"/>
  <c r="Q6" i="8" s="1"/>
</calcChain>
</file>

<file path=xl/sharedStrings.xml><?xml version="1.0" encoding="utf-8"?>
<sst xmlns="http://schemas.openxmlformats.org/spreadsheetml/2006/main" count="1782" uniqueCount="294">
  <si>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</si>
  <si>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</si>
  <si>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</si>
  <si>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</si>
  <si>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</si>
  <si>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</si>
  <si>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</si>
  <si>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</si>
  <si>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</si>
  <si>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</si>
  <si>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</si>
  <si>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</si>
  <si>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</si>
  <si>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</si>
  <si>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</si>
  <si>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</si>
  <si>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</si>
  <si>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</si>
  <si>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</si>
  <si>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</si>
  <si>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</si>
  <si>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</si>
  <si>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</si>
  <si>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</si>
  <si>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</si>
  <si>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</si>
  <si>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</si>
  <si>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</si>
  <si>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</si>
  <si>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</si>
  <si>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</si>
  <si>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</si>
  <si>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</si>
  <si>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</si>
  <si>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</si>
  <si>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</si>
  <si>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</si>
  <si>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</si>
  <si>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</si>
  <si>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</si>
  <si>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</si>
  <si>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</si>
  <si>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</si>
  <si>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</si>
  <si>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</si>
  <si>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</si>
  <si>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</si>
  <si>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</si>
  <si>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</si>
  <si>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</si>
  <si>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</si>
  <si>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</si>
  <si>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</si>
  <si>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</si>
  <si>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</si>
  <si>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</si>
  <si>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</si>
  <si>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</si>
  <si>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</si>
  <si>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</si>
  <si>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</si>
  <si>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</si>
  <si>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</si>
  <si>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</si>
  <si>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</si>
  <si>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</si>
  <si>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</si>
  <si>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</si>
  <si>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</si>
  <si>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</si>
  <si>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</si>
  <si>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</si>
  <si>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</si>
  <si>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</si>
  <si>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</si>
  <si>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</si>
  <si>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</si>
  <si>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</si>
  <si>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</si>
  <si>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</si>
  <si>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</si>
  <si>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</si>
  <si>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</si>
  <si>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</si>
  <si>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</si>
  <si>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</si>
  <si>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</si>
  <si>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</si>
  <si>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</si>
  <si>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</si>
  <si>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</si>
  <si>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</si>
  <si>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</si>
  <si>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</si>
  <si>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</si>
  <si>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</si>
  <si>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</si>
  <si>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</si>
  <si>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</si>
  <si>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</si>
  <si>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</si>
  <si>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</si>
  <si>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</si>
  <si>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</si>
  <si>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</si>
  <si>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</si>
  <si>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</si>
  <si>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</si>
  <si>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</si>
  <si>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</si>
  <si>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</si>
  <si>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</si>
  <si>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</si>
  <si>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</si>
  <si>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</si>
  <si>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</si>
  <si>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</si>
  <si>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</si>
  <si>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</si>
  <si>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</si>
  <si>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</si>
  <si>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</si>
  <si>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</si>
  <si>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</si>
  <si>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</si>
  <si>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</si>
  <si>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</si>
  <si>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"прочие мероприятия" государственной программы Красноярского края "Развитие культуры"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</si>
  <si>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</si>
  <si>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</si>
  <si>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</si>
  <si>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</si>
  <si>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</si>
  <si>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</si>
  <si>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</si>
  <si>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</si>
  <si>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</si>
  <si>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</si>
  <si>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</si>
  <si>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</si>
  <si>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</si>
  <si>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</si>
  <si>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</si>
  <si>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</si>
  <si>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</si>
  <si>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</si>
  <si>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</si>
  <si>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</si>
  <si>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</si>
  <si>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</si>
  <si>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</si>
  <si>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</si>
  <si>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</si>
  <si>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</si>
  <si>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</si>
  <si>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</si>
  <si>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</si>
  <si>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</si>
  <si>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</si>
  <si>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</si>
  <si>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</si>
  <si>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</si>
  <si>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</si>
  <si>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</si>
  <si>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</si>
  <si>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</si>
  <si>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</si>
  <si>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</si>
  <si>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</si>
  <si>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</si>
  <si>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r>
      <rPr>
        <sz val="14"/>
        <color indexed="8"/>
        <rFont val="Times New Roman"/>
        <family val="1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Times New Roman"/>
        <family val="1"/>
        <charset val="204"/>
      </rPr>
      <t xml:space="preserve">
</t>
    </r>
  </si>
  <si>
    <t>Приложение 2                                                                          к паспорту подпрограммы                                                 "Поддержка искусства и народного творчества"</t>
  </si>
  <si>
    <t xml:space="preserve">Приложение 3                                                                   к паспорту муниципальной программы города Бородино "Развитие культуры"
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</si>
  <si>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</si>
  <si>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</si>
  <si>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</si>
  <si>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</si>
  <si>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</si>
  <si>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</si>
  <si>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</si>
  <si>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</si>
  <si>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</si>
  <si>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</si>
  <si>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</si>
  <si>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</si>
  <si>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</si>
  <si>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</si>
  <si>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</si>
  <si>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</si>
  <si>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</si>
  <si>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</si>
  <si>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</si>
  <si>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</si>
  <si>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</si>
  <si>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</si>
  <si>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</si>
  <si>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</si>
  <si>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 xml:space="preserve">Приложение  2                                                                                                                                                                                   к паспорту подпрограммы "Обеспечение условий реализациии муниципальной программы и прочие мероприятия"
          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</si>
  <si>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</si>
  <si>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</si>
  <si>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</si>
  <si>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</si>
  <si>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</si>
  <si>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</si>
  <si>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</si>
  <si>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</si>
  <si>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</si>
  <si>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</si>
  <si>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</si>
  <si>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</si>
  <si>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</si>
  <si>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</si>
  <si>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</si>
  <si>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</si>
  <si>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</si>
  <si>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</si>
  <si>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</si>
  <si>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</si>
  <si>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</si>
  <si>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</si>
  <si>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</si>
  <si>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</si>
  <si>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</si>
  <si>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</si>
  <si>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</si>
  <si>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</si>
  <si>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</si>
  <si>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</si>
  <si>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</si>
  <si>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</si>
  <si>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</si>
  <si>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</si>
  <si>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</si>
  <si>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</si>
  <si>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</si>
  <si>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</si>
  <si>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</si>
  <si>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</si>
  <si>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</si>
  <si>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</si>
  <si>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Итого на 2014 -2018годы</t>
  </si>
  <si>
    <t>Итого на 2014 -2018 годы</t>
  </si>
  <si>
    <t>Итого на 
2014 -2018 годы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</si>
  <si>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</si>
  <si>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</si>
  <si>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</si>
  <si>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</si>
  <si>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</si>
  <si>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</si>
  <si>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</si>
  <si>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</si>
  <si>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</si>
  <si>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</si>
  <si>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</si>
  <si>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</si>
  <si>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</si>
  <si>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</si>
  <si>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</si>
  <si>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</si>
  <si>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</si>
  <si>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</si>
  <si>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</si>
  <si>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</si>
  <si>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</si>
  <si>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</si>
  <si>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</si>
  <si>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</si>
  <si>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</si>
  <si>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</si>
  <si>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</si>
  <si>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</si>
  <si>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</si>
  <si>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</si>
  <si>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</si>
  <si>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</si>
  <si>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</si>
  <si>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129</t>
  </si>
  <si>
    <t>119</t>
  </si>
  <si>
    <t>1.9</t>
  </si>
  <si>
    <t>1.0.</t>
  </si>
  <si>
    <t>009421П</t>
  </si>
  <si>
    <t>Итого на  
2014-2018 годы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</si>
  <si>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</si>
  <si>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</si>
  <si>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</si>
  <si>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</si>
  <si>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</si>
  <si>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</si>
  <si>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ОКСМП и ИО   Федеральный бюджет</t>
  </si>
  <si>
    <t>00L0140</t>
  </si>
  <si>
    <r>
      <rPr>
        <sz val="14"/>
        <color indexed="8"/>
        <rFont val="Times New Roman"/>
        <family val="1"/>
        <charset val="204"/>
      </rPr>
      <t>Приложение №2                                                                                          к постановлению администрации города Бородино от  16.09.2016  №676</t>
    </r>
    <r>
      <rPr>
        <sz val="12"/>
        <color indexed="8"/>
        <rFont val="Times New Roman"/>
        <family val="1"/>
        <charset val="204"/>
      </rPr>
      <t xml:space="preserve">
</t>
    </r>
  </si>
  <si>
    <t>Приложение № 3                                                                                                                                          к постановлению администрации города Бородино  от   16.09.2016      № 676</t>
  </si>
  <si>
    <t>Приложение №4                                                                                                                                        к постановлению администрации города Бородино  от    16.09.2016  № 676</t>
  </si>
  <si>
    <t>Приложение № 1                                                                                                                                           к постановлению администрации города Бородино    от 16.09.2016    №  676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</si>
</sst>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#,##0.00_ ;\-#,##0.00\ "/>
    <numFmt numFmtId="167" formatCode="_-* #,##0.00_р_._-;\-* #,##0.00_р_._-;_-* &quot;-&quot;?_р_._-;_-@_-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484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165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wrapText="1"/>
    </xf>
    <xf numFmtId="0" fontId="7" fillId="0" borderId="0" xfId="0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10" fillId="0" borderId="0" xfId="0" applyNumberFormat="1" applyFont="1" applyFill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top" wrapText="1"/>
    </xf>
    <xf numFmtId="43" fontId="2" fillId="0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0" fontId="11" fillId="0" borderId="2" xfId="0" applyFont="1" applyBorder="1" applyAlignment="1">
      <alignment vertical="top" wrapText="1"/>
    </xf>
    <xf numFmtId="43" fontId="2" fillId="3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49" fontId="11" fillId="2" borderId="4" xfId="0" applyNumberFormat="1" applyFont="1" applyFill="1" applyBorder="1" applyAlignment="1">
      <alignment horizontal="center" vertical="top" wrapText="1"/>
    </xf>
    <xf numFmtId="49" fontId="11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49" fontId="11" fillId="7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1" fillId="8" borderId="1" xfId="0" applyNumberFormat="1" applyFont="1" applyFill="1" applyBorder="1" applyAlignment="1">
      <alignment horizontal="center" vertical="top" wrapText="1"/>
    </xf>
    <xf numFmtId="49" fontId="11" fillId="8" borderId="4" xfId="0" applyNumberFormat="1" applyFont="1" applyFill="1" applyBorder="1" applyAlignment="1">
      <alignment horizontal="center" vertical="top" wrapText="1"/>
    </xf>
    <xf numFmtId="49" fontId="11" fillId="8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11" fillId="8" borderId="5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left" vertical="top" wrapText="1"/>
    </xf>
    <xf numFmtId="43" fontId="2" fillId="2" borderId="1" xfId="0" applyNumberFormat="1" applyFont="1" applyFill="1" applyBorder="1" applyAlignment="1">
      <alignment horizontal="right" vertical="top" wrapText="1"/>
    </xf>
    <xf numFmtId="4" fontId="2" fillId="9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6" fontId="2" fillId="4" borderId="1" xfId="0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49" fontId="10" fillId="7" borderId="4" xfId="0" applyNumberFormat="1" applyFont="1" applyFill="1" applyBorder="1" applyAlignment="1">
      <alignment horizontal="center" vertical="top" wrapText="1"/>
    </xf>
    <xf numFmtId="43" fontId="10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167" fontId="2" fillId="4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166" fontId="15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vertical="top" wrapText="1"/>
    </xf>
    <xf numFmtId="43" fontId="17" fillId="2" borderId="1" xfId="0" applyNumberFormat="1" applyFont="1" applyFill="1" applyBorder="1" applyAlignment="1">
      <alignment horizontal="right" vertical="top" wrapText="1"/>
    </xf>
    <xf numFmtId="43" fontId="17" fillId="0" borderId="1" xfId="0" applyNumberFormat="1" applyFont="1" applyFill="1" applyBorder="1" applyAlignment="1">
      <alignment horizontal="righ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165" fontId="17" fillId="0" borderId="1" xfId="0" applyNumberFormat="1" applyFont="1" applyFill="1" applyBorder="1" applyAlignment="1">
      <alignment horizontal="right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3" fontId="10" fillId="2" borderId="1" xfId="0" applyNumberFormat="1" applyFont="1" applyFill="1" applyBorder="1" applyAlignment="1">
      <alignment horizontal="right" vertical="top" wrapText="1"/>
    </xf>
    <xf numFmtId="166" fontId="10" fillId="0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10" fillId="2" borderId="1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vertical="top" wrapText="1"/>
    </xf>
    <xf numFmtId="165" fontId="2" fillId="2" borderId="7" xfId="0" applyNumberFormat="1" applyFont="1" applyFill="1" applyBorder="1" applyAlignment="1">
      <alignment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10" fillId="2" borderId="1" xfId="0" applyFont="1" applyFill="1" applyBorder="1" applyAlignment="1">
      <alignment wrapText="1"/>
    </xf>
    <xf numFmtId="165" fontId="2" fillId="2" borderId="13" xfId="0" applyNumberFormat="1" applyFont="1" applyFill="1" applyBorder="1" applyAlignment="1">
      <alignment vertical="top" wrapText="1"/>
    </xf>
    <xf numFmtId="165" fontId="2" fillId="2" borderId="9" xfId="0" applyNumberFormat="1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65" fontId="11" fillId="2" borderId="1" xfId="0" applyNumberFormat="1" applyFont="1" applyFill="1" applyBorder="1" applyAlignment="1">
      <alignment horizontal="left" vertical="top" wrapText="1"/>
    </xf>
    <xf numFmtId="49" fontId="2" fillId="2" borderId="8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9" fontId="10" fillId="2" borderId="6" xfId="0" applyNumberFormat="1" applyFont="1" applyFill="1" applyBorder="1" applyAlignment="1">
      <alignment horizontal="center" vertical="top" wrapText="1"/>
    </xf>
    <xf numFmtId="43" fontId="10" fillId="2" borderId="4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2" xfId="0" quotePrefix="1" applyFont="1" applyFill="1" applyBorder="1" applyAlignment="1">
      <alignment horizontal="left" vertical="top" wrapText="1"/>
    </xf>
    <xf numFmtId="49" fontId="10" fillId="7" borderId="1" xfId="0" applyNumberFormat="1" applyFont="1" applyFill="1" applyBorder="1" applyAlignment="1">
      <alignment horizontal="center" vertical="top" wrapText="1"/>
    </xf>
    <xf numFmtId="49" fontId="10" fillId="7" borderId="5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right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9" fontId="10" fillId="2" borderId="14" xfId="0" applyNumberFormat="1" applyFont="1" applyFill="1" applyBorder="1" applyAlignment="1">
      <alignment horizontal="center" vertical="top" wrapText="1"/>
    </xf>
    <xf numFmtId="49" fontId="10" fillId="2" borderId="12" xfId="0" applyNumberFormat="1" applyFont="1" applyFill="1" applyBorder="1" applyAlignment="1">
      <alignment horizontal="center" vertical="top" wrapText="1"/>
    </xf>
    <xf numFmtId="43" fontId="10" fillId="2" borderId="2" xfId="0" applyNumberFormat="1" applyFont="1" applyFill="1" applyBorder="1" applyAlignment="1">
      <alignment horizontal="right" vertical="top" wrapText="1"/>
    </xf>
    <xf numFmtId="0" fontId="10" fillId="2" borderId="7" xfId="0" applyFont="1" applyFill="1" applyBorder="1" applyAlignment="1">
      <alignment horizontal="left" vertical="top" wrapText="1"/>
    </xf>
    <xf numFmtId="49" fontId="10" fillId="2" borderId="15" xfId="0" applyNumberFormat="1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43" fontId="10" fillId="2" borderId="7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7" borderId="5" xfId="0" applyFont="1" applyFill="1" applyBorder="1" applyAlignment="1">
      <alignment horizontal="center" vertical="top" wrapText="1"/>
    </xf>
    <xf numFmtId="166" fontId="10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10" fillId="9" borderId="1" xfId="0" applyNumberFormat="1" applyFont="1" applyFill="1" applyBorder="1" applyAlignment="1">
      <alignment horizontal="right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1" xfId="0" quotePrefix="1" applyNumberFormat="1" applyFont="1" applyFill="1" applyBorder="1" applyAlignment="1">
      <alignment horizontal="center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10" fillId="2" borderId="1" xfId="0" quotePrefix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4" xfId="0" quotePrefix="1" applyNumberFormat="1" applyFont="1" applyFill="1" applyBorder="1" applyAlignment="1">
      <alignment horizontal="center" vertical="top" wrapText="1"/>
    </xf>
    <xf numFmtId="49" fontId="10" fillId="2" borderId="1" xfId="0" quotePrefix="1" applyNumberFormat="1" applyFont="1" applyFill="1" applyBorder="1" applyAlignment="1">
      <alignment horizontal="center" vertical="top" wrapText="1"/>
    </xf>
    <xf numFmtId="49" fontId="10" fillId="2" borderId="4" xfId="0" quotePrefix="1" applyNumberFormat="1" applyFont="1" applyFill="1" applyBorder="1" applyAlignment="1">
      <alignment horizontal="center" vertical="top" wrapText="1"/>
    </xf>
    <xf numFmtId="43" fontId="2" fillId="0" borderId="0" xfId="0" applyNumberFormat="1" applyFont="1" applyFill="1" applyAlignment="1">
      <alignment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0" fontId="0" fillId="2" borderId="7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7" xfId="0" quotePrefix="1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49" fontId="2" fillId="4" borderId="15" xfId="0" applyNumberFormat="1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165" fontId="17" fillId="0" borderId="7" xfId="0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165" fontId="2" fillId="2" borderId="2" xfId="0" applyNumberFormat="1" applyFont="1" applyFill="1" applyBorder="1" applyAlignment="1">
      <alignment horizontal="left" vertical="top" wrapText="1"/>
    </xf>
    <xf numFmtId="165" fontId="2" fillId="2" borderId="3" xfId="0" applyNumberFormat="1" applyFont="1" applyFill="1" applyBorder="1" applyAlignment="1">
      <alignment horizontal="left" vertical="top" wrapText="1"/>
    </xf>
    <xf numFmtId="165" fontId="2" fillId="2" borderId="7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7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10" fillId="2" borderId="2" xfId="0" quotePrefix="1" applyFont="1" applyFill="1" applyBorder="1" applyAlignment="1">
      <alignment horizontal="left" vertical="top" wrapText="1"/>
    </xf>
    <xf numFmtId="0" fontId="10" fillId="2" borderId="3" xfId="0" quotePrefix="1" applyFont="1" applyFill="1" applyBorder="1" applyAlignment="1">
      <alignment horizontal="left" vertical="top" wrapText="1"/>
    </xf>
    <xf numFmtId="0" fontId="10" fillId="2" borderId="7" xfId="0" quotePrefix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7" fillId="0" borderId="0" xfId="3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6" borderId="6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0" fontId="0" fillId="0" borderId="7" xfId="0" applyBorder="1" applyAlignment="1">
      <alignment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49" fontId="19" fillId="0" borderId="0" xfId="0" applyNumberFormat="1" applyFont="1" applyFill="1" applyAlignment="1">
      <alignment horizontal="center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5" borderId="6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view="pageBreakPreview" zoomScale="54" zoomScaleNormal="85" zoomScaleSheetLayoutView="54" workbookViewId="0">
      <selection activeCell="N1" sqref="N1:Q1"/>
    </sheetView>
  </sheetViews>
  <sheetFormatPr defaultColWidth="9.140625" defaultRowHeight="15.75" x14ac:dyDescent="0.2"/>
  <cols>
    <col min="1" max="1" width="7.7109375" style="25" customWidth="1"/>
    <col min="2" max="2" width="19.28515625" style="25" customWidth="1"/>
    <col min="3" max="3" width="28.140625" style="22" customWidth="1"/>
    <col min="4" max="4" width="19.28515625" style="22" customWidth="1"/>
    <col min="5" max="6" width="9.140625" style="22"/>
    <col min="7" max="7" width="4.5703125" style="22" customWidth="1"/>
    <col min="8" max="8" width="3" style="22" customWidth="1"/>
    <col min="9" max="9" width="14.140625" style="22" customWidth="1"/>
    <col min="10" max="10" width="9.140625" style="22" customWidth="1"/>
    <col min="11" max="11" width="21.140625" style="22" customWidth="1"/>
    <col min="12" max="12" width="19.5703125" style="22" customWidth="1"/>
    <col min="13" max="14" width="18.7109375" style="22" customWidth="1"/>
    <col min="15" max="15" width="18.7109375" style="283" customWidth="1"/>
    <col min="16" max="16" width="20.28515625" style="22" customWidth="1"/>
    <col min="17" max="17" width="21.140625" style="22" customWidth="1"/>
    <col min="18" max="18" width="35.85546875" style="22" customWidth="1"/>
    <col min="19" max="20" width="9.140625" style="22"/>
    <col min="21" max="21" width="10.42578125" style="22" bestFit="1" customWidth="1"/>
    <col min="22" max="16384" width="9.140625" style="22"/>
  </cols>
  <sheetData>
    <row r="1" spans="1:21" ht="80.25" customHeight="1" x14ac:dyDescent="0.2">
      <c r="N1" s="370" t="s">
        <v>290</v>
      </c>
      <c r="O1" s="370"/>
      <c r="P1" s="370"/>
      <c r="Q1" s="370"/>
    </row>
    <row r="2" spans="1:21" ht="87.75" customHeight="1" x14ac:dyDescent="0.2">
      <c r="F2" s="376"/>
      <c r="G2" s="377"/>
      <c r="H2" s="377"/>
      <c r="L2" s="158"/>
      <c r="M2" s="158"/>
      <c r="N2" s="379" t="s">
        <v>172</v>
      </c>
      <c r="O2" s="379"/>
      <c r="P2" s="379"/>
      <c r="Q2" s="379"/>
      <c r="R2" s="111"/>
    </row>
    <row r="3" spans="1:21" ht="53.25" customHeight="1" x14ac:dyDescent="0.2">
      <c r="A3" s="378" t="s">
        <v>194</v>
      </c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114"/>
    </row>
    <row r="4" spans="1:21" x14ac:dyDescent="0.2">
      <c r="F4" s="7"/>
      <c r="G4" s="6" t="s">
        <v>29</v>
      </c>
      <c r="H4" s="7">
        <v>1</v>
      </c>
      <c r="I4" s="7"/>
    </row>
    <row r="5" spans="1:21" ht="18" customHeight="1" x14ac:dyDescent="0.2">
      <c r="A5" s="396" t="s">
        <v>3</v>
      </c>
      <c r="B5" s="365" t="s">
        <v>203</v>
      </c>
      <c r="C5" s="397" t="s">
        <v>282</v>
      </c>
      <c r="D5" s="364" t="s">
        <v>226</v>
      </c>
      <c r="E5" s="364" t="s">
        <v>4</v>
      </c>
      <c r="F5" s="364"/>
      <c r="G5" s="364"/>
      <c r="H5" s="364"/>
      <c r="I5" s="364"/>
      <c r="J5" s="364"/>
      <c r="K5" s="367" t="s">
        <v>222</v>
      </c>
      <c r="L5" s="368"/>
      <c r="M5" s="368"/>
      <c r="N5" s="368"/>
      <c r="O5" s="368"/>
      <c r="P5" s="369"/>
      <c r="Q5" s="364" t="s">
        <v>5</v>
      </c>
      <c r="U5" s="22">
        <v>12000000</v>
      </c>
    </row>
    <row r="6" spans="1:21" ht="83.25" customHeight="1" x14ac:dyDescent="0.2">
      <c r="A6" s="396"/>
      <c r="B6" s="366"/>
      <c r="C6" s="398"/>
      <c r="D6" s="364"/>
      <c r="E6" s="112" t="s">
        <v>6</v>
      </c>
      <c r="F6" s="112" t="s">
        <v>7</v>
      </c>
      <c r="G6" s="367" t="s">
        <v>8</v>
      </c>
      <c r="H6" s="368"/>
      <c r="I6" s="369"/>
      <c r="J6" s="112" t="s">
        <v>9</v>
      </c>
      <c r="K6" s="112" t="s">
        <v>10</v>
      </c>
      <c r="L6" s="112" t="s">
        <v>11</v>
      </c>
      <c r="M6" s="112" t="s">
        <v>12</v>
      </c>
      <c r="N6" s="139" t="s">
        <v>158</v>
      </c>
      <c r="O6" s="282" t="s">
        <v>239</v>
      </c>
      <c r="P6" s="282" t="s">
        <v>242</v>
      </c>
      <c r="Q6" s="364"/>
      <c r="U6" s="22">
        <v>340000</v>
      </c>
    </row>
    <row r="7" spans="1:21" ht="49.5" customHeight="1" x14ac:dyDescent="0.2">
      <c r="A7" s="415"/>
      <c r="B7" s="412" t="s">
        <v>76</v>
      </c>
      <c r="C7" s="416" t="s">
        <v>178</v>
      </c>
      <c r="D7" s="227" t="s">
        <v>140</v>
      </c>
      <c r="E7" s="228" t="s">
        <v>48</v>
      </c>
      <c r="F7" s="228" t="s">
        <v>48</v>
      </c>
      <c r="G7" s="228" t="s">
        <v>48</v>
      </c>
      <c r="H7" s="228" t="s">
        <v>48</v>
      </c>
      <c r="I7" s="228" t="s">
        <v>48</v>
      </c>
      <c r="J7" s="228" t="s">
        <v>48</v>
      </c>
      <c r="K7" s="229">
        <f>SUM(K9:K11)</f>
        <v>65340733.63000001</v>
      </c>
      <c r="L7" s="229">
        <f>SUM(L9:L11)</f>
        <v>59975697.280000001</v>
      </c>
      <c r="M7" s="229">
        <f>SUM(M9:M11)</f>
        <v>56807489.109999992</v>
      </c>
      <c r="N7" s="229">
        <f>SUM(N9:N11)</f>
        <v>54739363.559999995</v>
      </c>
      <c r="O7" s="229">
        <f>SUM(O9:O11)</f>
        <v>54736863.559999995</v>
      </c>
      <c r="P7" s="229">
        <f>SUM(K7:O7)</f>
        <v>291600147.13999999</v>
      </c>
      <c r="Q7" s="190"/>
      <c r="U7" s="22">
        <v>320000</v>
      </c>
    </row>
    <row r="8" spans="1:21" ht="20.25" customHeight="1" x14ac:dyDescent="0.2">
      <c r="A8" s="386"/>
      <c r="B8" s="389"/>
      <c r="C8" s="394"/>
      <c r="D8" s="200" t="s">
        <v>25</v>
      </c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29">
        <f t="shared" ref="P8:P16" si="0">SUM(K8:O8)</f>
        <v>0</v>
      </c>
      <c r="Q8" s="190"/>
      <c r="U8" s="22">
        <v>430000</v>
      </c>
    </row>
    <row r="9" spans="1:21" ht="65.25" customHeight="1" x14ac:dyDescent="0.2">
      <c r="A9" s="386"/>
      <c r="B9" s="389"/>
      <c r="C9" s="394"/>
      <c r="D9" s="200" t="s">
        <v>191</v>
      </c>
      <c r="E9" s="230" t="s">
        <v>48</v>
      </c>
      <c r="F9" s="232" t="s">
        <v>48</v>
      </c>
      <c r="G9" s="232" t="s">
        <v>48</v>
      </c>
      <c r="H9" s="232" t="s">
        <v>48</v>
      </c>
      <c r="I9" s="232" t="s">
        <v>48</v>
      </c>
      <c r="J9" s="232" t="s">
        <v>48</v>
      </c>
      <c r="K9" s="191">
        <v>6181600</v>
      </c>
      <c r="L9" s="191">
        <f>L14</f>
        <v>3000</v>
      </c>
      <c r="M9" s="191">
        <f>2500-300+M95</f>
        <v>37560</v>
      </c>
      <c r="N9" s="191">
        <v>2500</v>
      </c>
      <c r="O9" s="191">
        <f t="shared" ref="O9" si="1">O14</f>
        <v>0</v>
      </c>
      <c r="P9" s="229">
        <f t="shared" si="0"/>
        <v>6224660</v>
      </c>
      <c r="Q9" s="190"/>
    </row>
    <row r="10" spans="1:21" ht="54" customHeight="1" x14ac:dyDescent="0.2">
      <c r="A10" s="386"/>
      <c r="B10" s="389"/>
      <c r="C10" s="394"/>
      <c r="D10" s="200" t="s">
        <v>192</v>
      </c>
      <c r="E10" s="230" t="s">
        <v>48</v>
      </c>
      <c r="F10" s="232" t="s">
        <v>48</v>
      </c>
      <c r="G10" s="232" t="s">
        <v>48</v>
      </c>
      <c r="H10" s="232" t="s">
        <v>48</v>
      </c>
      <c r="I10" s="232" t="s">
        <v>48</v>
      </c>
      <c r="J10" s="232" t="s">
        <v>48</v>
      </c>
      <c r="K10" s="191">
        <f t="shared" ref="K10:M11" si="2">K15+K49+K96</f>
        <v>4022906.0900000003</v>
      </c>
      <c r="L10" s="191">
        <f t="shared" si="2"/>
        <v>3072008.16</v>
      </c>
      <c r="M10" s="191">
        <f t="shared" si="2"/>
        <v>1397694.4400000002</v>
      </c>
      <c r="N10" s="191"/>
      <c r="O10" s="191"/>
      <c r="P10" s="229">
        <f t="shared" si="0"/>
        <v>8492608.6899999995</v>
      </c>
      <c r="Q10" s="190"/>
      <c r="U10" s="22">
        <v>400000</v>
      </c>
    </row>
    <row r="11" spans="1:21" ht="63" customHeight="1" x14ac:dyDescent="0.2">
      <c r="A11" s="387"/>
      <c r="B11" s="390"/>
      <c r="C11" s="395"/>
      <c r="D11" s="200" t="s">
        <v>193</v>
      </c>
      <c r="E11" s="230" t="s">
        <v>48</v>
      </c>
      <c r="F11" s="232" t="s">
        <v>48</v>
      </c>
      <c r="G11" s="232" t="s">
        <v>48</v>
      </c>
      <c r="H11" s="232" t="s">
        <v>48</v>
      </c>
      <c r="I11" s="232" t="s">
        <v>48</v>
      </c>
      <c r="J11" s="232" t="s">
        <v>48</v>
      </c>
      <c r="K11" s="191">
        <f t="shared" si="2"/>
        <v>55136227.540000007</v>
      </c>
      <c r="L11" s="191">
        <f t="shared" si="2"/>
        <v>56900689.119999997</v>
      </c>
      <c r="M11" s="191">
        <f t="shared" si="2"/>
        <v>55372234.669999994</v>
      </c>
      <c r="N11" s="191">
        <f>N16+N50+N97</f>
        <v>54736863.559999995</v>
      </c>
      <c r="O11" s="191">
        <f>O16+O50+O97</f>
        <v>54736863.559999995</v>
      </c>
      <c r="P11" s="229">
        <f t="shared" si="0"/>
        <v>276882878.44999999</v>
      </c>
      <c r="Q11" s="190"/>
      <c r="R11" s="300"/>
      <c r="U11" s="22">
        <f>SUM(U5:U10)</f>
        <v>13490000</v>
      </c>
    </row>
    <row r="12" spans="1:21" ht="48.75" customHeight="1" x14ac:dyDescent="0.2">
      <c r="A12" s="380" t="s">
        <v>13</v>
      </c>
      <c r="B12" s="388" t="s">
        <v>49</v>
      </c>
      <c r="C12" s="391" t="s">
        <v>141</v>
      </c>
      <c r="D12" s="200" t="s">
        <v>140</v>
      </c>
      <c r="E12" s="230"/>
      <c r="F12" s="230"/>
      <c r="G12" s="230"/>
      <c r="H12" s="230"/>
      <c r="I12" s="230"/>
      <c r="J12" s="230"/>
      <c r="K12" s="191">
        <f>K38+K45</f>
        <v>9957712.459999999</v>
      </c>
      <c r="L12" s="191">
        <f>L38+L45</f>
        <v>10484619.77</v>
      </c>
      <c r="M12" s="191">
        <f>M38+M45</f>
        <v>9854919.2000000011</v>
      </c>
      <c r="N12" s="191">
        <f>N38+N45</f>
        <v>9743334.1699999999</v>
      </c>
      <c r="O12" s="191">
        <f>O38+O45</f>
        <v>9740834.1699999999</v>
      </c>
      <c r="P12" s="229">
        <f t="shared" si="0"/>
        <v>49781419.770000003</v>
      </c>
      <c r="Q12" s="190"/>
    </row>
    <row r="13" spans="1:21" ht="20.25" customHeight="1" x14ac:dyDescent="0.2">
      <c r="A13" s="386"/>
      <c r="B13" s="389"/>
      <c r="C13" s="394"/>
      <c r="D13" s="200" t="s">
        <v>25</v>
      </c>
      <c r="E13" s="230"/>
      <c r="F13" s="230"/>
      <c r="G13" s="230"/>
      <c r="H13" s="230"/>
      <c r="I13" s="230"/>
      <c r="J13" s="230"/>
      <c r="K13" s="191"/>
      <c r="L13" s="230"/>
      <c r="M13" s="230"/>
      <c r="N13" s="230"/>
      <c r="O13" s="230"/>
      <c r="P13" s="229">
        <f t="shared" si="0"/>
        <v>0</v>
      </c>
      <c r="Q13" s="190"/>
    </row>
    <row r="14" spans="1:21" ht="51.75" customHeight="1" x14ac:dyDescent="0.2">
      <c r="A14" s="386"/>
      <c r="B14" s="389"/>
      <c r="C14" s="394"/>
      <c r="D14" s="200" t="s">
        <v>191</v>
      </c>
      <c r="E14" s="230" t="s">
        <v>48</v>
      </c>
      <c r="F14" s="232" t="s">
        <v>48</v>
      </c>
      <c r="G14" s="232" t="s">
        <v>48</v>
      </c>
      <c r="H14" s="232" t="s">
        <v>48</v>
      </c>
      <c r="I14" s="232" t="s">
        <v>48</v>
      </c>
      <c r="J14" s="232" t="s">
        <v>48</v>
      </c>
      <c r="K14" s="191">
        <v>0</v>
      </c>
      <c r="L14" s="191">
        <f>L32</f>
        <v>3000</v>
      </c>
      <c r="M14" s="191">
        <f>M32</f>
        <v>2200</v>
      </c>
      <c r="N14" s="191">
        <f>N32</f>
        <v>2500</v>
      </c>
      <c r="O14" s="191">
        <f>O32</f>
        <v>0</v>
      </c>
      <c r="P14" s="229">
        <f t="shared" si="0"/>
        <v>7700</v>
      </c>
      <c r="Q14" s="190"/>
    </row>
    <row r="15" spans="1:21" ht="55.5" customHeight="1" x14ac:dyDescent="0.2">
      <c r="A15" s="386"/>
      <c r="B15" s="389"/>
      <c r="C15" s="394"/>
      <c r="D15" s="200" t="s">
        <v>192</v>
      </c>
      <c r="E15" s="230" t="s">
        <v>48</v>
      </c>
      <c r="F15" s="230" t="s">
        <v>48</v>
      </c>
      <c r="G15" s="230" t="s">
        <v>48</v>
      </c>
      <c r="H15" s="230" t="s">
        <v>48</v>
      </c>
      <c r="I15" s="230" t="s">
        <v>48</v>
      </c>
      <c r="J15" s="230" t="s">
        <v>48</v>
      </c>
      <c r="K15" s="191">
        <f>303924-6800+17407.21</f>
        <v>314531.21000000002</v>
      </c>
      <c r="L15" s="191">
        <f>L23+L41+L31+L24</f>
        <v>329979.43</v>
      </c>
      <c r="M15" s="191">
        <f>M31+M23+M24+M41+M27+M28</f>
        <v>93425.03</v>
      </c>
      <c r="N15" s="191"/>
      <c r="O15" s="191"/>
      <c r="P15" s="229">
        <f t="shared" si="0"/>
        <v>737935.67</v>
      </c>
      <c r="Q15" s="190"/>
    </row>
    <row r="16" spans="1:21" ht="64.5" customHeight="1" x14ac:dyDescent="0.2">
      <c r="A16" s="387"/>
      <c r="B16" s="390"/>
      <c r="C16" s="395"/>
      <c r="D16" s="200" t="s">
        <v>193</v>
      </c>
      <c r="E16" s="230" t="s">
        <v>48</v>
      </c>
      <c r="F16" s="230" t="s">
        <v>48</v>
      </c>
      <c r="G16" s="230" t="s">
        <v>48</v>
      </c>
      <c r="H16" s="230" t="s">
        <v>48</v>
      </c>
      <c r="I16" s="230" t="s">
        <v>48</v>
      </c>
      <c r="J16" s="230" t="s">
        <v>48</v>
      </c>
      <c r="K16" s="191">
        <f>K12-K15</f>
        <v>9643181.2499999981</v>
      </c>
      <c r="L16" s="191">
        <f>L12-L15-L14</f>
        <v>10151640.34</v>
      </c>
      <c r="M16" s="191">
        <f>M12-M15-M14</f>
        <v>9759294.1700000018</v>
      </c>
      <c r="N16" s="191">
        <f>N12-N15-N14</f>
        <v>9740834.1699999999</v>
      </c>
      <c r="O16" s="191">
        <f t="shared" ref="O16" si="3">O12-O15-O14</f>
        <v>9740834.1699999999</v>
      </c>
      <c r="P16" s="229">
        <f t="shared" si="0"/>
        <v>49035784.100000001</v>
      </c>
      <c r="Q16" s="190"/>
    </row>
    <row r="17" spans="1:18" ht="18.75" customHeight="1" x14ac:dyDescent="0.2">
      <c r="A17" s="99" t="s">
        <v>13</v>
      </c>
      <c r="B17" s="103"/>
      <c r="C17" s="405" t="s">
        <v>68</v>
      </c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7"/>
      <c r="Q17" s="190"/>
    </row>
    <row r="18" spans="1:18" ht="29.25" customHeight="1" x14ac:dyDescent="0.2">
      <c r="A18" s="388" t="s">
        <v>30</v>
      </c>
      <c r="B18" s="186"/>
      <c r="C18" s="408" t="s">
        <v>117</v>
      </c>
      <c r="D18" s="200" t="s">
        <v>56</v>
      </c>
      <c r="E18" s="133" t="s">
        <v>74</v>
      </c>
      <c r="F18" s="133" t="s">
        <v>27</v>
      </c>
      <c r="G18" s="233" t="s">
        <v>77</v>
      </c>
      <c r="H18" s="136">
        <v>1</v>
      </c>
      <c r="I18" s="29" t="s">
        <v>244</v>
      </c>
      <c r="J18" s="298" t="s">
        <v>79</v>
      </c>
      <c r="K18" s="180">
        <v>4736588.21</v>
      </c>
      <c r="L18" s="180">
        <f>4807782.33-88</f>
        <v>4807694.33</v>
      </c>
      <c r="M18" s="180">
        <f>4781262.36+141345.47-12.98</f>
        <v>4922594.8499999996</v>
      </c>
      <c r="N18" s="180">
        <v>4922607.83</v>
      </c>
      <c r="O18" s="180">
        <f>N18</f>
        <v>4922607.83</v>
      </c>
      <c r="P18" s="180">
        <f>SUM(K18:O18)</f>
        <v>24312093.049999997</v>
      </c>
      <c r="Q18" s="399" t="s">
        <v>82</v>
      </c>
    </row>
    <row r="19" spans="1:18" s="292" customFormat="1" ht="29.25" customHeight="1" x14ac:dyDescent="0.2">
      <c r="A19" s="413"/>
      <c r="B19" s="295"/>
      <c r="C19" s="409"/>
      <c r="D19" s="200" t="s">
        <v>56</v>
      </c>
      <c r="E19" s="134" t="s">
        <v>74</v>
      </c>
      <c r="F19" s="134" t="s">
        <v>27</v>
      </c>
      <c r="G19" s="135" t="s">
        <v>77</v>
      </c>
      <c r="H19" s="136">
        <v>1</v>
      </c>
      <c r="I19" s="29" t="s">
        <v>244</v>
      </c>
      <c r="J19" s="299" t="s">
        <v>277</v>
      </c>
      <c r="K19" s="180">
        <v>1430437.95</v>
      </c>
      <c r="L19" s="180">
        <v>1451923.68</v>
      </c>
      <c r="M19" s="180">
        <f>1443941.23+42686.34-3.92</f>
        <v>1486623.6500000001</v>
      </c>
      <c r="N19" s="180">
        <v>1486627.57</v>
      </c>
      <c r="O19" s="180">
        <f>N19</f>
        <v>1486627.57</v>
      </c>
      <c r="P19" s="180">
        <f>SUM(K19:O19)</f>
        <v>7342240.4200000009</v>
      </c>
      <c r="Q19" s="400"/>
    </row>
    <row r="20" spans="1:18" s="168" customFormat="1" ht="29.25" customHeight="1" x14ac:dyDescent="0.2">
      <c r="A20" s="413"/>
      <c r="B20" s="192"/>
      <c r="C20" s="409"/>
      <c r="D20" s="200" t="s">
        <v>56</v>
      </c>
      <c r="E20" s="134" t="s">
        <v>74</v>
      </c>
      <c r="F20" s="134" t="s">
        <v>27</v>
      </c>
      <c r="G20" s="135" t="s">
        <v>77</v>
      </c>
      <c r="H20" s="136">
        <v>1</v>
      </c>
      <c r="I20" s="287" t="s">
        <v>244</v>
      </c>
      <c r="J20" s="134" t="s">
        <v>126</v>
      </c>
      <c r="K20" s="180"/>
      <c r="L20" s="180">
        <v>1560</v>
      </c>
      <c r="M20" s="180">
        <v>1560</v>
      </c>
      <c r="N20" s="180">
        <v>1560</v>
      </c>
      <c r="O20" s="180">
        <v>1560</v>
      </c>
      <c r="P20" s="180">
        <f t="shared" ref="P20:P37" si="4">SUM(K20:O20)</f>
        <v>6240</v>
      </c>
      <c r="Q20" s="400"/>
    </row>
    <row r="21" spans="1:18" ht="27" customHeight="1" x14ac:dyDescent="0.2">
      <c r="A21" s="413"/>
      <c r="B21" s="192"/>
      <c r="C21" s="409"/>
      <c r="D21" s="200" t="s">
        <v>56</v>
      </c>
      <c r="E21" s="134" t="s">
        <v>74</v>
      </c>
      <c r="F21" s="134" t="s">
        <v>27</v>
      </c>
      <c r="G21" s="135" t="s">
        <v>77</v>
      </c>
      <c r="H21" s="136">
        <v>1</v>
      </c>
      <c r="I21" s="287" t="s">
        <v>244</v>
      </c>
      <c r="J21" s="134" t="s">
        <v>28</v>
      </c>
      <c r="K21" s="180">
        <f>1019485-3.2+1687.2</f>
        <v>1021169</v>
      </c>
      <c r="L21" s="180">
        <f>1027352.04-3300-6800</f>
        <v>1017252.04</v>
      </c>
      <c r="M21" s="138">
        <f>1047383+9060-4206-94</f>
        <v>1052143</v>
      </c>
      <c r="N21" s="180">
        <f>1047383</f>
        <v>1047383</v>
      </c>
      <c r="O21" s="180">
        <f>N21</f>
        <v>1047383</v>
      </c>
      <c r="P21" s="180">
        <f t="shared" si="4"/>
        <v>5185330.04</v>
      </c>
      <c r="Q21" s="400"/>
      <c r="R21" s="22" t="s">
        <v>200</v>
      </c>
    </row>
    <row r="22" spans="1:18" ht="27" customHeight="1" x14ac:dyDescent="0.2">
      <c r="A22" s="413"/>
      <c r="B22" s="192"/>
      <c r="C22" s="409"/>
      <c r="D22" s="200" t="s">
        <v>56</v>
      </c>
      <c r="E22" s="133" t="s">
        <v>74</v>
      </c>
      <c r="F22" s="134" t="s">
        <v>27</v>
      </c>
      <c r="G22" s="135" t="s">
        <v>77</v>
      </c>
      <c r="H22" s="136">
        <v>1</v>
      </c>
      <c r="I22" s="287" t="s">
        <v>244</v>
      </c>
      <c r="J22" s="134" t="s">
        <v>125</v>
      </c>
      <c r="K22" s="234">
        <v>150</v>
      </c>
      <c r="L22" s="234">
        <v>160</v>
      </c>
      <c r="M22" s="234">
        <v>160</v>
      </c>
      <c r="N22" s="234">
        <v>160</v>
      </c>
      <c r="O22" s="234">
        <v>160</v>
      </c>
      <c r="P22" s="180">
        <f t="shared" si="4"/>
        <v>790</v>
      </c>
      <c r="Q22" s="400"/>
    </row>
    <row r="23" spans="1:18" ht="127.5" customHeight="1" x14ac:dyDescent="0.2">
      <c r="A23" s="413"/>
      <c r="B23" s="192"/>
      <c r="C23" s="402" t="s">
        <v>137</v>
      </c>
      <c r="D23" s="200" t="s">
        <v>56</v>
      </c>
      <c r="E23" s="133" t="s">
        <v>74</v>
      </c>
      <c r="F23" s="134" t="s">
        <v>27</v>
      </c>
      <c r="G23" s="135" t="s">
        <v>77</v>
      </c>
      <c r="H23" s="136">
        <v>1</v>
      </c>
      <c r="I23" s="288" t="s">
        <v>252</v>
      </c>
      <c r="J23" s="299" t="s">
        <v>79</v>
      </c>
      <c r="K23" s="234">
        <v>129363.95</v>
      </c>
      <c r="L23" s="234">
        <f>87047.1+46225.91</f>
        <v>133273.01</v>
      </c>
      <c r="M23" s="234">
        <v>15604.58</v>
      </c>
      <c r="N23" s="234"/>
      <c r="O23" s="234"/>
      <c r="P23" s="180">
        <f t="shared" si="4"/>
        <v>278241.54000000004</v>
      </c>
      <c r="Q23" s="400"/>
    </row>
    <row r="24" spans="1:18" s="292" customFormat="1" ht="127.5" customHeight="1" x14ac:dyDescent="0.2">
      <c r="A24" s="413"/>
      <c r="B24" s="295"/>
      <c r="C24" s="404"/>
      <c r="D24" s="200" t="s">
        <v>56</v>
      </c>
      <c r="E24" s="133" t="s">
        <v>74</v>
      </c>
      <c r="F24" s="134" t="s">
        <v>27</v>
      </c>
      <c r="G24" s="135" t="s">
        <v>77</v>
      </c>
      <c r="H24" s="136">
        <v>1</v>
      </c>
      <c r="I24" s="288" t="s">
        <v>252</v>
      </c>
      <c r="J24" s="299" t="s">
        <v>277</v>
      </c>
      <c r="K24" s="234">
        <v>39067.919999999998</v>
      </c>
      <c r="L24" s="234">
        <f>26288.22+13960.23</f>
        <v>40248.449999999997</v>
      </c>
      <c r="M24" s="234">
        <v>4712.58</v>
      </c>
      <c r="N24" s="234"/>
      <c r="O24" s="234"/>
      <c r="P24" s="180">
        <f t="shared" si="4"/>
        <v>84028.95</v>
      </c>
      <c r="Q24" s="400"/>
    </row>
    <row r="25" spans="1:18" ht="143.25" customHeight="1" x14ac:dyDescent="0.2">
      <c r="A25" s="414"/>
      <c r="B25" s="194"/>
      <c r="C25" s="193" t="s">
        <v>138</v>
      </c>
      <c r="D25" s="113" t="s">
        <v>56</v>
      </c>
      <c r="E25" s="89" t="s">
        <v>74</v>
      </c>
      <c r="F25" s="90" t="s">
        <v>27</v>
      </c>
      <c r="G25" s="91" t="s">
        <v>77</v>
      </c>
      <c r="H25" s="92">
        <v>1</v>
      </c>
      <c r="I25" s="90" t="s">
        <v>253</v>
      </c>
      <c r="J25" s="99" t="s">
        <v>79</v>
      </c>
      <c r="K25" s="118">
        <v>1306.71</v>
      </c>
      <c r="L25" s="118">
        <f>1371.86+88</f>
        <v>1459.86</v>
      </c>
      <c r="M25" s="118">
        <f>12.98</f>
        <v>12.98</v>
      </c>
      <c r="N25" s="118"/>
      <c r="O25" s="118"/>
      <c r="P25" s="180">
        <f t="shared" si="4"/>
        <v>2779.5499999999997</v>
      </c>
      <c r="Q25" s="401"/>
    </row>
    <row r="26" spans="1:18" s="303" customFormat="1" ht="143.25" customHeight="1" x14ac:dyDescent="0.2">
      <c r="A26" s="301"/>
      <c r="B26" s="301"/>
      <c r="C26" s="193" t="s">
        <v>138</v>
      </c>
      <c r="D26" s="113" t="s">
        <v>56</v>
      </c>
      <c r="E26" s="89" t="s">
        <v>74</v>
      </c>
      <c r="F26" s="90" t="s">
        <v>27</v>
      </c>
      <c r="G26" s="91" t="s">
        <v>77</v>
      </c>
      <c r="H26" s="92">
        <v>1</v>
      </c>
      <c r="I26" s="90" t="s">
        <v>253</v>
      </c>
      <c r="J26" s="99" t="s">
        <v>277</v>
      </c>
      <c r="K26" s="118">
        <v>394.63</v>
      </c>
      <c r="L26" s="118">
        <f>414.3+26.58</f>
        <v>440.88</v>
      </c>
      <c r="M26" s="118">
        <f>3.92</f>
        <v>3.92</v>
      </c>
      <c r="N26" s="118"/>
      <c r="O26" s="118"/>
      <c r="P26" s="180">
        <f t="shared" ref="P26" si="5">SUM(K26:O26)</f>
        <v>839.43</v>
      </c>
      <c r="Q26" s="302"/>
    </row>
    <row r="27" spans="1:18" s="337" customFormat="1" ht="143.25" customHeight="1" x14ac:dyDescent="0.2">
      <c r="A27" s="342"/>
      <c r="B27" s="341"/>
      <c r="C27" s="340" t="s">
        <v>139</v>
      </c>
      <c r="D27" s="3" t="s">
        <v>56</v>
      </c>
      <c r="E27" s="62" t="s">
        <v>74</v>
      </c>
      <c r="F27" s="63" t="s">
        <v>27</v>
      </c>
      <c r="G27" s="64" t="s">
        <v>77</v>
      </c>
      <c r="H27" s="66">
        <v>1</v>
      </c>
      <c r="I27" s="63" t="s">
        <v>259</v>
      </c>
      <c r="J27" s="339" t="s">
        <v>79</v>
      </c>
      <c r="K27" s="67"/>
      <c r="L27" s="67"/>
      <c r="M27" s="67">
        <f>18857.99</f>
        <v>18857.990000000002</v>
      </c>
      <c r="N27" s="67"/>
      <c r="O27" s="67"/>
      <c r="P27" s="67">
        <f t="shared" ref="P27:P28" si="6">K27+L27+M27+N27+O27</f>
        <v>18857.990000000002</v>
      </c>
      <c r="Q27" s="345"/>
    </row>
    <row r="28" spans="1:18" s="337" customFormat="1" ht="143.25" customHeight="1" x14ac:dyDescent="0.2">
      <c r="A28" s="342"/>
      <c r="B28" s="341"/>
      <c r="C28" s="344" t="s">
        <v>139</v>
      </c>
      <c r="D28" s="3" t="s">
        <v>56</v>
      </c>
      <c r="E28" s="62" t="s">
        <v>74</v>
      </c>
      <c r="F28" s="63" t="s">
        <v>27</v>
      </c>
      <c r="G28" s="64" t="s">
        <v>77</v>
      </c>
      <c r="H28" s="66">
        <v>1</v>
      </c>
      <c r="I28" s="63" t="s">
        <v>259</v>
      </c>
      <c r="J28" s="339" t="s">
        <v>277</v>
      </c>
      <c r="K28" s="67"/>
      <c r="L28" s="67"/>
      <c r="M28" s="67">
        <v>5695.12</v>
      </c>
      <c r="N28" s="67"/>
      <c r="O28" s="67"/>
      <c r="P28" s="67">
        <f t="shared" si="6"/>
        <v>5695.12</v>
      </c>
      <c r="Q28" s="345"/>
    </row>
    <row r="29" spans="1:18" ht="83.25" customHeight="1" x14ac:dyDescent="0.2">
      <c r="A29" s="195" t="s">
        <v>54</v>
      </c>
      <c r="B29" s="196"/>
      <c r="C29" s="197" t="s">
        <v>118</v>
      </c>
      <c r="D29" s="113" t="s">
        <v>56</v>
      </c>
      <c r="E29" s="99" t="s">
        <v>74</v>
      </c>
      <c r="F29" s="99" t="s">
        <v>27</v>
      </c>
      <c r="G29" s="103" t="s">
        <v>77</v>
      </c>
      <c r="H29" s="104">
        <v>1</v>
      </c>
      <c r="I29" s="38" t="s">
        <v>245</v>
      </c>
      <c r="J29" s="99" t="s">
        <v>28</v>
      </c>
      <c r="K29" s="118">
        <f>5560+230+1160</f>
        <v>6950</v>
      </c>
      <c r="L29" s="118">
        <f>6120+236+6800</f>
        <v>13156</v>
      </c>
      <c r="M29" s="118">
        <f>13700</f>
        <v>13700</v>
      </c>
      <c r="N29" s="118">
        <v>0</v>
      </c>
      <c r="O29" s="118">
        <v>0</v>
      </c>
      <c r="P29" s="180">
        <f>SUM(K29:O29)</f>
        <v>33806</v>
      </c>
      <c r="Q29" s="198" t="s">
        <v>160</v>
      </c>
    </row>
    <row r="30" spans="1:18" ht="79.5" customHeight="1" x14ac:dyDescent="0.2">
      <c r="A30" s="199" t="s">
        <v>57</v>
      </c>
      <c r="B30" s="199"/>
      <c r="C30" s="197" t="s">
        <v>119</v>
      </c>
      <c r="D30" s="113" t="s">
        <v>56</v>
      </c>
      <c r="E30" s="89" t="s">
        <v>74</v>
      </c>
      <c r="F30" s="90" t="s">
        <v>27</v>
      </c>
      <c r="G30" s="91" t="s">
        <v>77</v>
      </c>
      <c r="H30" s="92">
        <v>1</v>
      </c>
      <c r="I30" s="93" t="s">
        <v>243</v>
      </c>
      <c r="J30" s="90" t="s">
        <v>28</v>
      </c>
      <c r="K30" s="118">
        <v>370000</v>
      </c>
      <c r="L30" s="118">
        <v>370000</v>
      </c>
      <c r="M30" s="118">
        <v>0</v>
      </c>
      <c r="N30" s="118">
        <v>0</v>
      </c>
      <c r="O30" s="118">
        <v>0</v>
      </c>
      <c r="P30" s="180">
        <f t="shared" si="4"/>
        <v>740000</v>
      </c>
      <c r="Q30" s="198"/>
    </row>
    <row r="31" spans="1:18" ht="177" customHeight="1" x14ac:dyDescent="0.2">
      <c r="A31" s="199" t="s">
        <v>101</v>
      </c>
      <c r="B31" s="199"/>
      <c r="C31" s="235" t="s">
        <v>127</v>
      </c>
      <c r="D31" s="200" t="s">
        <v>56</v>
      </c>
      <c r="E31" s="133" t="s">
        <v>74</v>
      </c>
      <c r="F31" s="134" t="s">
        <v>27</v>
      </c>
      <c r="G31" s="135" t="s">
        <v>77</v>
      </c>
      <c r="H31" s="136">
        <v>1</v>
      </c>
      <c r="I31" s="137" t="s">
        <v>254</v>
      </c>
      <c r="J31" s="134" t="s">
        <v>28</v>
      </c>
      <c r="K31" s="180">
        <f>27800-6800</f>
        <v>21000</v>
      </c>
      <c r="L31" s="180">
        <f>30600-7700+27200</f>
        <v>50100</v>
      </c>
      <c r="M31" s="138">
        <v>41100</v>
      </c>
      <c r="N31" s="180"/>
      <c r="O31" s="180"/>
      <c r="P31" s="180">
        <f>SUM(K31:O31)</f>
        <v>112200</v>
      </c>
      <c r="Q31" s="198"/>
    </row>
    <row r="32" spans="1:18" ht="131.25" customHeight="1" x14ac:dyDescent="0.2">
      <c r="A32" s="199" t="s">
        <v>159</v>
      </c>
      <c r="B32" s="199"/>
      <c r="C32" s="225" t="s">
        <v>166</v>
      </c>
      <c r="D32" s="200" t="s">
        <v>56</v>
      </c>
      <c r="E32" s="133" t="s">
        <v>74</v>
      </c>
      <c r="F32" s="134" t="s">
        <v>27</v>
      </c>
      <c r="G32" s="135" t="s">
        <v>77</v>
      </c>
      <c r="H32" s="136">
        <v>1</v>
      </c>
      <c r="I32" s="93" t="s">
        <v>246</v>
      </c>
      <c r="J32" s="134" t="s">
        <v>28</v>
      </c>
      <c r="K32" s="180">
        <v>0</v>
      </c>
      <c r="L32" s="180">
        <f>3300-300</f>
        <v>3000</v>
      </c>
      <c r="M32" s="180">
        <f>2500-300</f>
        <v>2200</v>
      </c>
      <c r="N32" s="180">
        <v>2500</v>
      </c>
      <c r="O32" s="180">
        <v>0</v>
      </c>
      <c r="P32" s="180">
        <f t="shared" si="4"/>
        <v>7700</v>
      </c>
      <c r="Q32" s="198"/>
    </row>
    <row r="33" spans="1:18" s="168" customFormat="1" ht="131.25" customHeight="1" x14ac:dyDescent="0.2">
      <c r="A33" s="199" t="s">
        <v>174</v>
      </c>
      <c r="B33" s="199"/>
      <c r="C33" s="235" t="s">
        <v>173</v>
      </c>
      <c r="D33" s="200" t="s">
        <v>56</v>
      </c>
      <c r="E33" s="133" t="s">
        <v>74</v>
      </c>
      <c r="F33" s="133" t="s">
        <v>27</v>
      </c>
      <c r="G33" s="233" t="s">
        <v>77</v>
      </c>
      <c r="H33" s="136">
        <v>1</v>
      </c>
      <c r="I33" s="134" t="s">
        <v>255</v>
      </c>
      <c r="J33" s="133" t="s">
        <v>79</v>
      </c>
      <c r="K33" s="180">
        <v>4112.6400000000003</v>
      </c>
      <c r="L33" s="180"/>
      <c r="M33" s="180"/>
      <c r="N33" s="180"/>
      <c r="O33" s="180"/>
      <c r="P33" s="180">
        <f t="shared" si="4"/>
        <v>4112.6400000000003</v>
      </c>
      <c r="Q33" s="198"/>
    </row>
    <row r="34" spans="1:18" s="303" customFormat="1" ht="131.25" customHeight="1" x14ac:dyDescent="0.2">
      <c r="A34" s="304" t="s">
        <v>198</v>
      </c>
      <c r="B34" s="199"/>
      <c r="C34" s="235" t="s">
        <v>173</v>
      </c>
      <c r="D34" s="200" t="s">
        <v>56</v>
      </c>
      <c r="E34" s="133" t="s">
        <v>74</v>
      </c>
      <c r="F34" s="133" t="s">
        <v>27</v>
      </c>
      <c r="G34" s="233" t="s">
        <v>77</v>
      </c>
      <c r="H34" s="136">
        <v>1</v>
      </c>
      <c r="I34" s="134" t="s">
        <v>255</v>
      </c>
      <c r="J34" s="133" t="s">
        <v>277</v>
      </c>
      <c r="K34" s="180">
        <v>1242.02</v>
      </c>
      <c r="L34" s="180"/>
      <c r="M34" s="180"/>
      <c r="N34" s="180"/>
      <c r="O34" s="180"/>
      <c r="P34" s="180">
        <f t="shared" ref="P34" si="7">SUM(K34:O34)</f>
        <v>1242.02</v>
      </c>
      <c r="Q34" s="198"/>
    </row>
    <row r="35" spans="1:18" s="223" customFormat="1" ht="131.25" customHeight="1" x14ac:dyDescent="0.2">
      <c r="A35" s="304" t="s">
        <v>228</v>
      </c>
      <c r="B35" s="199"/>
      <c r="C35" s="236" t="s">
        <v>199</v>
      </c>
      <c r="D35" s="200" t="s">
        <v>56</v>
      </c>
      <c r="E35" s="133" t="s">
        <v>74</v>
      </c>
      <c r="F35" s="133" t="s">
        <v>27</v>
      </c>
      <c r="G35" s="233" t="s">
        <v>77</v>
      </c>
      <c r="H35" s="136">
        <v>1</v>
      </c>
      <c r="I35" s="134" t="s">
        <v>256</v>
      </c>
      <c r="J35" s="133" t="s">
        <v>28</v>
      </c>
      <c r="K35" s="180"/>
      <c r="L35" s="180">
        <v>3300</v>
      </c>
      <c r="M35" s="180">
        <v>250</v>
      </c>
      <c r="N35" s="180">
        <v>250</v>
      </c>
      <c r="O35" s="180">
        <v>250</v>
      </c>
      <c r="P35" s="180">
        <f t="shared" si="4"/>
        <v>4050</v>
      </c>
      <c r="Q35" s="198"/>
    </row>
    <row r="36" spans="1:18" s="272" customFormat="1" ht="131.25" customHeight="1" x14ac:dyDescent="0.2">
      <c r="A36" s="304" t="s">
        <v>278</v>
      </c>
      <c r="B36" s="199"/>
      <c r="C36" s="39" t="s">
        <v>229</v>
      </c>
      <c r="D36" s="200" t="s">
        <v>56</v>
      </c>
      <c r="E36" s="133" t="s">
        <v>74</v>
      </c>
      <c r="F36" s="133" t="s">
        <v>27</v>
      </c>
      <c r="G36" s="233" t="s">
        <v>77</v>
      </c>
      <c r="H36" s="136">
        <v>1</v>
      </c>
      <c r="I36" s="134" t="s">
        <v>257</v>
      </c>
      <c r="J36" s="133" t="s">
        <v>28</v>
      </c>
      <c r="K36" s="180"/>
      <c r="L36" s="180">
        <v>116125</v>
      </c>
      <c r="M36" s="180"/>
      <c r="N36" s="180"/>
      <c r="O36" s="180"/>
      <c r="P36" s="180">
        <f t="shared" si="4"/>
        <v>116125</v>
      </c>
      <c r="Q36" s="198"/>
    </row>
    <row r="37" spans="1:18" s="278" customFormat="1" ht="131.25" customHeight="1" x14ac:dyDescent="0.2">
      <c r="A37" s="304" t="s">
        <v>279</v>
      </c>
      <c r="B37" s="199"/>
      <c r="C37" s="39" t="s">
        <v>238</v>
      </c>
      <c r="D37" s="3" t="s">
        <v>56</v>
      </c>
      <c r="E37" s="89" t="s">
        <v>74</v>
      </c>
      <c r="F37" s="90" t="s">
        <v>27</v>
      </c>
      <c r="G37" s="91" t="s">
        <v>77</v>
      </c>
      <c r="H37" s="92">
        <v>1</v>
      </c>
      <c r="I37" s="93" t="s">
        <v>258</v>
      </c>
      <c r="J37" s="90" t="s">
        <v>28</v>
      </c>
      <c r="K37" s="180"/>
      <c r="L37" s="180">
        <v>200000</v>
      </c>
      <c r="M37" s="180"/>
      <c r="N37" s="180"/>
      <c r="O37" s="180"/>
      <c r="P37" s="180">
        <f t="shared" si="4"/>
        <v>200000</v>
      </c>
      <c r="Q37" s="198"/>
    </row>
    <row r="38" spans="1:18" ht="31.5" customHeight="1" x14ac:dyDescent="0.2">
      <c r="A38" s="99"/>
      <c r="B38" s="99"/>
      <c r="C38" s="235" t="s">
        <v>15</v>
      </c>
      <c r="D38" s="200"/>
      <c r="E38" s="235"/>
      <c r="F38" s="235"/>
      <c r="G38" s="233"/>
      <c r="H38" s="136"/>
      <c r="I38" s="232"/>
      <c r="J38" s="235"/>
      <c r="K38" s="180">
        <f>SUM(K18:K37)</f>
        <v>7761783.0299999993</v>
      </c>
      <c r="L38" s="180">
        <f>SUM(L18:L37)</f>
        <v>8209693.25</v>
      </c>
      <c r="M38" s="180">
        <f>SUM(M18:M37)</f>
        <v>7565218.6700000009</v>
      </c>
      <c r="N38" s="180">
        <f>SUM(N18:N37)</f>
        <v>7461088.4000000004</v>
      </c>
      <c r="O38" s="180">
        <f>SUM(O18:O37)</f>
        <v>7458588.4000000004</v>
      </c>
      <c r="P38" s="180">
        <f>SUM(K38:O38)</f>
        <v>38456371.75</v>
      </c>
      <c r="Q38" s="113"/>
      <c r="R38" s="21"/>
    </row>
    <row r="39" spans="1:18" ht="18" customHeight="1" x14ac:dyDescent="0.2">
      <c r="A39" s="99" t="s">
        <v>16</v>
      </c>
      <c r="B39" s="103"/>
      <c r="C39" s="405" t="s">
        <v>71</v>
      </c>
      <c r="D39" s="406"/>
      <c r="E39" s="406"/>
      <c r="F39" s="406"/>
      <c r="G39" s="406"/>
      <c r="H39" s="406"/>
      <c r="I39" s="406"/>
      <c r="J39" s="406"/>
      <c r="K39" s="406"/>
      <c r="L39" s="406"/>
      <c r="M39" s="406"/>
      <c r="N39" s="406"/>
      <c r="O39" s="406"/>
      <c r="P39" s="407"/>
      <c r="Q39" s="113"/>
    </row>
    <row r="40" spans="1:18" ht="117" customHeight="1" x14ac:dyDescent="0.2">
      <c r="A40" s="380" t="s">
        <v>17</v>
      </c>
      <c r="B40" s="185"/>
      <c r="C40" s="235" t="s">
        <v>120</v>
      </c>
      <c r="D40" s="200" t="s">
        <v>56</v>
      </c>
      <c r="E40" s="133" t="s">
        <v>74</v>
      </c>
      <c r="F40" s="133" t="s">
        <v>27</v>
      </c>
      <c r="G40" s="233" t="s">
        <v>77</v>
      </c>
      <c r="H40" s="136">
        <v>1</v>
      </c>
      <c r="I40" s="38" t="s">
        <v>244</v>
      </c>
      <c r="J40" s="133" t="s">
        <v>78</v>
      </c>
      <c r="K40" s="180">
        <f>2089586.88+21000-109173.01+61290+46791.28</f>
        <v>2109495.15</v>
      </c>
      <c r="L40" s="180">
        <v>2167494.23</v>
      </c>
      <c r="M40" s="180">
        <f>2174893.88+107351.89-85.45</f>
        <v>2282160.3199999998</v>
      </c>
      <c r="N40" s="180">
        <v>2282245.77</v>
      </c>
      <c r="O40" s="180">
        <f>N40</f>
        <v>2282245.77</v>
      </c>
      <c r="P40" s="180">
        <f>SUM(K40:O40)</f>
        <v>11123641.239999998</v>
      </c>
      <c r="Q40" s="420" t="s">
        <v>81</v>
      </c>
    </row>
    <row r="41" spans="1:18" ht="134.25" customHeight="1" x14ac:dyDescent="0.2">
      <c r="A41" s="381"/>
      <c r="B41" s="188"/>
      <c r="C41" s="235" t="s">
        <v>137</v>
      </c>
      <c r="D41" s="200" t="s">
        <v>56</v>
      </c>
      <c r="E41" s="134" t="s">
        <v>74</v>
      </c>
      <c r="F41" s="134" t="s">
        <v>27</v>
      </c>
      <c r="G41" s="135" t="s">
        <v>77</v>
      </c>
      <c r="H41" s="136">
        <v>1</v>
      </c>
      <c r="I41" s="134" t="s">
        <v>252</v>
      </c>
      <c r="J41" s="134" t="s">
        <v>78</v>
      </c>
      <c r="K41" s="180">
        <f>108081.28-46791.28+9459.03</f>
        <v>70749.03</v>
      </c>
      <c r="L41" s="180">
        <v>106357.97</v>
      </c>
      <c r="M41" s="180">
        <v>7454.76</v>
      </c>
      <c r="N41" s="180"/>
      <c r="O41" s="180"/>
      <c r="P41" s="180">
        <f t="shared" ref="P41:P45" si="8">SUM(K41:O41)</f>
        <v>184561.76</v>
      </c>
      <c r="Q41" s="421"/>
    </row>
    <row r="42" spans="1:18" ht="163.5" customHeight="1" x14ac:dyDescent="0.2">
      <c r="A42" s="382"/>
      <c r="B42" s="189"/>
      <c r="C42" s="235" t="s">
        <v>138</v>
      </c>
      <c r="D42" s="200" t="s">
        <v>56</v>
      </c>
      <c r="E42" s="134" t="s">
        <v>74</v>
      </c>
      <c r="F42" s="134" t="s">
        <v>27</v>
      </c>
      <c r="G42" s="135" t="s">
        <v>77</v>
      </c>
      <c r="H42" s="136">
        <v>1</v>
      </c>
      <c r="I42" s="134" t="s">
        <v>253</v>
      </c>
      <c r="J42" s="134" t="s">
        <v>78</v>
      </c>
      <c r="K42" s="180">
        <v>1091.73</v>
      </c>
      <c r="L42" s="180">
        <v>1074.32</v>
      </c>
      <c r="M42" s="180">
        <f>85.45</f>
        <v>85.45</v>
      </c>
      <c r="N42" s="180"/>
      <c r="O42" s="180"/>
      <c r="P42" s="180">
        <f t="shared" si="8"/>
        <v>2251.5</v>
      </c>
      <c r="Q42" s="422"/>
    </row>
    <row r="43" spans="1:18" ht="81.75" customHeight="1" x14ac:dyDescent="0.2">
      <c r="A43" s="99" t="s">
        <v>72</v>
      </c>
      <c r="B43" s="99"/>
      <c r="C43" s="235" t="s">
        <v>128</v>
      </c>
      <c r="D43" s="200" t="s">
        <v>56</v>
      </c>
      <c r="E43" s="133" t="s">
        <v>74</v>
      </c>
      <c r="F43" s="133" t="s">
        <v>27</v>
      </c>
      <c r="G43" s="233" t="s">
        <v>77</v>
      </c>
      <c r="H43" s="136">
        <v>1</v>
      </c>
      <c r="I43" s="134" t="s">
        <v>247</v>
      </c>
      <c r="J43" s="133" t="s">
        <v>80</v>
      </c>
      <c r="K43" s="180">
        <v>12000</v>
      </c>
      <c r="L43" s="180">
        <v>0</v>
      </c>
      <c r="M43" s="180">
        <v>0</v>
      </c>
      <c r="N43" s="180"/>
      <c r="O43" s="180"/>
      <c r="P43" s="180">
        <f t="shared" si="8"/>
        <v>12000</v>
      </c>
      <c r="Q43" s="193" t="s">
        <v>129</v>
      </c>
    </row>
    <row r="44" spans="1:18" ht="116.25" customHeight="1" x14ac:dyDescent="0.2">
      <c r="A44" s="99" t="s">
        <v>73</v>
      </c>
      <c r="B44" s="99"/>
      <c r="C44" s="235" t="s">
        <v>173</v>
      </c>
      <c r="D44" s="200" t="s">
        <v>56</v>
      </c>
      <c r="E44" s="133" t="s">
        <v>74</v>
      </c>
      <c r="F44" s="133" t="s">
        <v>27</v>
      </c>
      <c r="G44" s="233" t="s">
        <v>77</v>
      </c>
      <c r="H44" s="136">
        <v>1</v>
      </c>
      <c r="I44" s="134" t="s">
        <v>255</v>
      </c>
      <c r="J44" s="133" t="s">
        <v>78</v>
      </c>
      <c r="K44" s="180">
        <v>2593.52</v>
      </c>
      <c r="L44" s="180"/>
      <c r="M44" s="180"/>
      <c r="N44" s="180"/>
      <c r="O44" s="180"/>
      <c r="P44" s="180">
        <f t="shared" si="8"/>
        <v>2593.52</v>
      </c>
      <c r="Q44" s="193"/>
    </row>
    <row r="45" spans="1:18" ht="32.25" customHeight="1" x14ac:dyDescent="0.2">
      <c r="A45" s="99"/>
      <c r="B45" s="99"/>
      <c r="C45" s="235" t="s">
        <v>18</v>
      </c>
      <c r="D45" s="200"/>
      <c r="E45" s="235"/>
      <c r="F45" s="235"/>
      <c r="G45" s="233"/>
      <c r="H45" s="136"/>
      <c r="I45" s="232"/>
      <c r="J45" s="235"/>
      <c r="K45" s="180">
        <f>SUM(K40:K44)</f>
        <v>2195929.4299999997</v>
      </c>
      <c r="L45" s="180">
        <f>SUM(L40:L44)</f>
        <v>2274926.52</v>
      </c>
      <c r="M45" s="180">
        <f>SUM(M40:M44)</f>
        <v>2289700.5299999998</v>
      </c>
      <c r="N45" s="180">
        <f>SUM(N40:N44)</f>
        <v>2282245.77</v>
      </c>
      <c r="O45" s="180">
        <f>SUM(O40:O44)</f>
        <v>2282245.77</v>
      </c>
      <c r="P45" s="180">
        <f t="shared" si="8"/>
        <v>11325048.019999998</v>
      </c>
      <c r="Q45" s="113"/>
      <c r="R45" s="21"/>
    </row>
    <row r="46" spans="1:18" ht="45.75" customHeight="1" x14ac:dyDescent="0.2">
      <c r="A46" s="380" t="s">
        <v>16</v>
      </c>
      <c r="B46" s="388" t="s">
        <v>51</v>
      </c>
      <c r="C46" s="391" t="s">
        <v>142</v>
      </c>
      <c r="D46" s="200" t="s">
        <v>140</v>
      </c>
      <c r="E46" s="230"/>
      <c r="F46" s="230"/>
      <c r="G46" s="230"/>
      <c r="H46" s="230"/>
      <c r="I46" s="230"/>
      <c r="J46" s="230"/>
      <c r="K46" s="191">
        <f>K67+K79+K92</f>
        <v>41738870.470000006</v>
      </c>
      <c r="L46" s="191">
        <f>L67+L79+L92</f>
        <v>34136465.450000003</v>
      </c>
      <c r="M46" s="191">
        <f>M67+M79+M92</f>
        <v>34335925.849999994</v>
      </c>
      <c r="N46" s="191">
        <f>N67+N79+N92</f>
        <v>32938039.449999999</v>
      </c>
      <c r="O46" s="191">
        <f>O67+O79+O92</f>
        <v>32938039.449999999</v>
      </c>
      <c r="P46" s="231">
        <f>SUM(K46:O46)</f>
        <v>176087340.66999999</v>
      </c>
      <c r="Q46" s="113"/>
      <c r="R46" s="21"/>
    </row>
    <row r="47" spans="1:18" ht="17.25" customHeight="1" x14ac:dyDescent="0.2">
      <c r="A47" s="386"/>
      <c r="B47" s="389"/>
      <c r="C47" s="392"/>
      <c r="D47" s="200" t="s">
        <v>25</v>
      </c>
      <c r="E47" s="230"/>
      <c r="F47" s="230"/>
      <c r="G47" s="230"/>
      <c r="H47" s="230"/>
      <c r="I47" s="230"/>
      <c r="J47" s="230"/>
      <c r="K47" s="191"/>
      <c r="L47" s="230"/>
      <c r="M47" s="230"/>
      <c r="N47" s="230"/>
      <c r="O47" s="230"/>
      <c r="P47" s="231">
        <f t="shared" ref="P47" si="9">SUM(K47:M47)</f>
        <v>0</v>
      </c>
      <c r="Q47" s="113"/>
      <c r="R47" s="21"/>
    </row>
    <row r="48" spans="1:18" ht="48" customHeight="1" x14ac:dyDescent="0.2">
      <c r="A48" s="386"/>
      <c r="B48" s="389"/>
      <c r="C48" s="392"/>
      <c r="D48" s="200" t="s">
        <v>191</v>
      </c>
      <c r="E48" s="230" t="s">
        <v>48</v>
      </c>
      <c r="F48" s="230" t="s">
        <v>48</v>
      </c>
      <c r="G48" s="230" t="s">
        <v>48</v>
      </c>
      <c r="H48" s="230" t="s">
        <v>48</v>
      </c>
      <c r="I48" s="230" t="s">
        <v>48</v>
      </c>
      <c r="J48" s="230" t="s">
        <v>48</v>
      </c>
      <c r="K48" s="191">
        <f>6181600</f>
        <v>6181600</v>
      </c>
      <c r="L48" s="191">
        <v>0</v>
      </c>
      <c r="M48" s="191">
        <v>0</v>
      </c>
      <c r="N48" s="191"/>
      <c r="O48" s="191"/>
      <c r="P48" s="231">
        <f>SUM(K48:N48)</f>
        <v>6181600</v>
      </c>
      <c r="Q48" s="113"/>
      <c r="R48" s="21"/>
    </row>
    <row r="49" spans="1:18" ht="51" customHeight="1" x14ac:dyDescent="0.2">
      <c r="A49" s="387"/>
      <c r="B49" s="389"/>
      <c r="C49" s="393"/>
      <c r="D49" s="200" t="s">
        <v>192</v>
      </c>
      <c r="E49" s="230" t="s">
        <v>48</v>
      </c>
      <c r="F49" s="230" t="s">
        <v>48</v>
      </c>
      <c r="G49" s="230" t="s">
        <v>48</v>
      </c>
      <c r="H49" s="230" t="s">
        <v>48</v>
      </c>
      <c r="I49" s="230" t="s">
        <v>48</v>
      </c>
      <c r="J49" s="230" t="s">
        <v>48</v>
      </c>
      <c r="K49" s="191">
        <f>556913.66+125691.96+1860000+197569.99</f>
        <v>2740175.6100000003</v>
      </c>
      <c r="L49" s="191">
        <f>L53+L59+L55+L72</f>
        <v>1479370.68</v>
      </c>
      <c r="M49" s="191">
        <f>M72+M74+M75+M53+M59+M55+M61</f>
        <v>1134308.1000000001</v>
      </c>
      <c r="N49" s="191"/>
      <c r="O49" s="191"/>
      <c r="P49" s="231">
        <f>SUM(K49:N49)</f>
        <v>5353854.3900000006</v>
      </c>
      <c r="Q49" s="113" t="s">
        <v>157</v>
      </c>
      <c r="R49" s="21"/>
    </row>
    <row r="50" spans="1:18" ht="60" customHeight="1" x14ac:dyDescent="0.2">
      <c r="A50" s="99"/>
      <c r="B50" s="390"/>
      <c r="C50" s="230"/>
      <c r="D50" s="200" t="s">
        <v>193</v>
      </c>
      <c r="E50" s="230" t="s">
        <v>48</v>
      </c>
      <c r="F50" s="230" t="s">
        <v>48</v>
      </c>
      <c r="G50" s="230" t="s">
        <v>48</v>
      </c>
      <c r="H50" s="230" t="s">
        <v>48</v>
      </c>
      <c r="I50" s="230" t="s">
        <v>48</v>
      </c>
      <c r="J50" s="230" t="s">
        <v>48</v>
      </c>
      <c r="K50" s="191">
        <f>K46-K49-K48</f>
        <v>32817094.860000007</v>
      </c>
      <c r="L50" s="191">
        <f>L46-L49</f>
        <v>32657094.770000003</v>
      </c>
      <c r="M50" s="191">
        <f>M46-M49</f>
        <v>33201617.749999993</v>
      </c>
      <c r="N50" s="191">
        <f>N46-N49</f>
        <v>32938039.449999999</v>
      </c>
      <c r="O50" s="191">
        <f>O46-O49</f>
        <v>32938039.449999999</v>
      </c>
      <c r="P50" s="231">
        <f>SUM(K50:O50)</f>
        <v>164551886.28</v>
      </c>
      <c r="Q50" s="190"/>
      <c r="R50" s="21"/>
    </row>
    <row r="51" spans="1:18" s="24" customFormat="1" ht="15" customHeight="1" x14ac:dyDescent="0.2">
      <c r="A51" s="99" t="s">
        <v>13</v>
      </c>
      <c r="B51" s="103"/>
      <c r="C51" s="405" t="s">
        <v>55</v>
      </c>
      <c r="D51" s="406"/>
      <c r="E51" s="406"/>
      <c r="F51" s="406"/>
      <c r="G51" s="406"/>
      <c r="H51" s="406"/>
      <c r="I51" s="406"/>
      <c r="J51" s="406"/>
      <c r="K51" s="406"/>
      <c r="L51" s="406"/>
      <c r="M51" s="406"/>
      <c r="N51" s="406"/>
      <c r="O51" s="406"/>
      <c r="P51" s="407"/>
      <c r="Q51" s="190"/>
    </row>
    <row r="52" spans="1:18" ht="99.75" customHeight="1" x14ac:dyDescent="0.2">
      <c r="A52" s="380" t="s">
        <v>30</v>
      </c>
      <c r="B52" s="185"/>
      <c r="C52" s="235" t="s">
        <v>110</v>
      </c>
      <c r="D52" s="235" t="s">
        <v>56</v>
      </c>
      <c r="E52" s="133" t="s">
        <v>74</v>
      </c>
      <c r="F52" s="133" t="s">
        <v>27</v>
      </c>
      <c r="G52" s="233" t="s">
        <v>77</v>
      </c>
      <c r="H52" s="136">
        <v>2</v>
      </c>
      <c r="I52" s="38" t="s">
        <v>244</v>
      </c>
      <c r="J52" s="133" t="s">
        <v>78</v>
      </c>
      <c r="K52" s="180">
        <f>24664296.64-816087.14-125691.96+75619+512753.06+295173.21</f>
        <v>24606062.809999999</v>
      </c>
      <c r="L52" s="180">
        <v>25950759.199999999</v>
      </c>
      <c r="M52" s="180">
        <f>26129689.11+1165534.79-1048.24</f>
        <v>27294175.66</v>
      </c>
      <c r="N52" s="180">
        <f>M52+1048.24</f>
        <v>27295223.899999999</v>
      </c>
      <c r="O52" s="180">
        <f>N52</f>
        <v>27295223.899999999</v>
      </c>
      <c r="P52" s="180">
        <f>SUM(K52:O52)</f>
        <v>132441445.47</v>
      </c>
      <c r="Q52" s="202" t="s">
        <v>83</v>
      </c>
    </row>
    <row r="53" spans="1:18" ht="126" x14ac:dyDescent="0.2">
      <c r="A53" s="381"/>
      <c r="B53" s="188"/>
      <c r="C53" s="235" t="s">
        <v>137</v>
      </c>
      <c r="D53" s="235" t="s">
        <v>56</v>
      </c>
      <c r="E53" s="133" t="s">
        <v>74</v>
      </c>
      <c r="F53" s="133" t="s">
        <v>27</v>
      </c>
      <c r="G53" s="233" t="s">
        <v>77</v>
      </c>
      <c r="H53" s="135" t="s">
        <v>16</v>
      </c>
      <c r="I53" s="134" t="s">
        <v>252</v>
      </c>
      <c r="J53" s="133" t="s">
        <v>78</v>
      </c>
      <c r="K53" s="180">
        <f>807926.27-295173.21+60134.56</f>
        <v>572887.62</v>
      </c>
      <c r="L53" s="180">
        <v>882697.37</v>
      </c>
      <c r="M53" s="180">
        <v>91639.52</v>
      </c>
      <c r="N53" s="180"/>
      <c r="O53" s="180"/>
      <c r="P53" s="180">
        <f t="shared" ref="P53:P66" si="10">SUM(K53:O53)</f>
        <v>1547224.51</v>
      </c>
      <c r="Q53" s="372"/>
    </row>
    <row r="54" spans="1:18" ht="157.5" x14ac:dyDescent="0.2">
      <c r="A54" s="381"/>
      <c r="B54" s="188"/>
      <c r="C54" s="235" t="s">
        <v>138</v>
      </c>
      <c r="D54" s="235" t="s">
        <v>56</v>
      </c>
      <c r="E54" s="133" t="s">
        <v>74</v>
      </c>
      <c r="F54" s="134" t="s">
        <v>27</v>
      </c>
      <c r="G54" s="135" t="s">
        <v>77</v>
      </c>
      <c r="H54" s="135" t="s">
        <v>16</v>
      </c>
      <c r="I54" s="134" t="s">
        <v>253</v>
      </c>
      <c r="J54" s="134" t="s">
        <v>78</v>
      </c>
      <c r="K54" s="180">
        <v>8160.87</v>
      </c>
      <c r="L54" s="180">
        <v>8916.14</v>
      </c>
      <c r="M54" s="180">
        <f>1048.24</f>
        <v>1048.24</v>
      </c>
      <c r="N54" s="180"/>
      <c r="O54" s="180"/>
      <c r="P54" s="180">
        <f t="shared" si="10"/>
        <v>18125.25</v>
      </c>
      <c r="Q54" s="372"/>
    </row>
    <row r="55" spans="1:18" ht="63" x14ac:dyDescent="0.2">
      <c r="A55" s="381"/>
      <c r="B55" s="188"/>
      <c r="C55" s="235" t="s">
        <v>139</v>
      </c>
      <c r="D55" s="235" t="s">
        <v>56</v>
      </c>
      <c r="E55" s="133" t="s">
        <v>74</v>
      </c>
      <c r="F55" s="134" t="s">
        <v>27</v>
      </c>
      <c r="G55" s="135" t="s">
        <v>77</v>
      </c>
      <c r="H55" s="135" t="s">
        <v>16</v>
      </c>
      <c r="I55" s="134" t="s">
        <v>259</v>
      </c>
      <c r="J55" s="134" t="s">
        <v>78</v>
      </c>
      <c r="K55" s="180">
        <f>125691.96+125691.96+92180</f>
        <v>343563.92000000004</v>
      </c>
      <c r="L55" s="180">
        <v>328353.59999999998</v>
      </c>
      <c r="M55" s="180">
        <f>245369.47</f>
        <v>245369.47</v>
      </c>
      <c r="N55" s="180"/>
      <c r="O55" s="180"/>
      <c r="P55" s="180">
        <f t="shared" si="10"/>
        <v>917286.99</v>
      </c>
      <c r="Q55" s="372"/>
      <c r="R55" s="21" t="s">
        <v>189</v>
      </c>
    </row>
    <row r="56" spans="1:18" ht="78.75" x14ac:dyDescent="0.2">
      <c r="A56" s="381"/>
      <c r="B56" s="188"/>
      <c r="C56" s="235" t="s">
        <v>111</v>
      </c>
      <c r="D56" s="235" t="s">
        <v>56</v>
      </c>
      <c r="E56" s="133" t="s">
        <v>74</v>
      </c>
      <c r="F56" s="134" t="s">
        <v>27</v>
      </c>
      <c r="G56" s="135" t="s">
        <v>77</v>
      </c>
      <c r="H56" s="135" t="s">
        <v>16</v>
      </c>
      <c r="I56" s="134" t="s">
        <v>247</v>
      </c>
      <c r="J56" s="134" t="s">
        <v>80</v>
      </c>
      <c r="K56" s="180">
        <f>200000+300000+15000</f>
        <v>515000</v>
      </c>
      <c r="L56" s="180">
        <v>0</v>
      </c>
      <c r="M56" s="180">
        <v>0</v>
      </c>
      <c r="N56" s="180"/>
      <c r="O56" s="180"/>
      <c r="P56" s="180">
        <f t="shared" si="10"/>
        <v>515000</v>
      </c>
      <c r="Q56" s="203"/>
    </row>
    <row r="57" spans="1:18" ht="126" x14ac:dyDescent="0.2">
      <c r="A57" s="382"/>
      <c r="B57" s="189"/>
      <c r="C57" s="235" t="s">
        <v>121</v>
      </c>
      <c r="D57" s="235" t="s">
        <v>56</v>
      </c>
      <c r="E57" s="133" t="s">
        <v>74</v>
      </c>
      <c r="F57" s="134" t="s">
        <v>27</v>
      </c>
      <c r="G57" s="135" t="s">
        <v>77</v>
      </c>
      <c r="H57" s="135" t="s">
        <v>16</v>
      </c>
      <c r="I57" s="134" t="s">
        <v>260</v>
      </c>
      <c r="J57" s="134" t="s">
        <v>80</v>
      </c>
      <c r="K57" s="180">
        <v>0</v>
      </c>
      <c r="L57" s="180">
        <v>0</v>
      </c>
      <c r="M57" s="180">
        <v>0</v>
      </c>
      <c r="N57" s="180"/>
      <c r="O57" s="180"/>
      <c r="P57" s="180">
        <f t="shared" si="10"/>
        <v>0</v>
      </c>
      <c r="Q57" s="204"/>
    </row>
    <row r="58" spans="1:18" ht="78.75" x14ac:dyDescent="0.2">
      <c r="A58" s="380" t="s">
        <v>14</v>
      </c>
      <c r="B58" s="185"/>
      <c r="C58" s="235" t="s">
        <v>109</v>
      </c>
      <c r="D58" s="235" t="s">
        <v>56</v>
      </c>
      <c r="E58" s="133" t="s">
        <v>74</v>
      </c>
      <c r="F58" s="133" t="s">
        <v>27</v>
      </c>
      <c r="G58" s="233" t="s">
        <v>77</v>
      </c>
      <c r="H58" s="135" t="s">
        <v>16</v>
      </c>
      <c r="I58" s="38" t="s">
        <v>244</v>
      </c>
      <c r="J58" s="133" t="s">
        <v>78</v>
      </c>
      <c r="K58" s="180">
        <f>4533475.22-81949.75+58744+44160.6+36969.65+373.44</f>
        <v>4591773.16</v>
      </c>
      <c r="L58" s="180">
        <v>4635728.3499999996</v>
      </c>
      <c r="M58" s="180">
        <f>4695549.65+92015.9-106.14</f>
        <v>4787459.4100000011</v>
      </c>
      <c r="N58" s="180">
        <f>M58+106.14</f>
        <v>4787565.5500000007</v>
      </c>
      <c r="O58" s="180">
        <f>N58</f>
        <v>4787565.5500000007</v>
      </c>
      <c r="P58" s="180">
        <f t="shared" si="10"/>
        <v>23590092.020000003</v>
      </c>
      <c r="Q58" s="383" t="s">
        <v>84</v>
      </c>
    </row>
    <row r="59" spans="1:18" ht="126" x14ac:dyDescent="0.2">
      <c r="A59" s="381"/>
      <c r="B59" s="188"/>
      <c r="C59" s="235" t="s">
        <v>137</v>
      </c>
      <c r="D59" s="235" t="s">
        <v>56</v>
      </c>
      <c r="E59" s="134" t="s">
        <v>74</v>
      </c>
      <c r="F59" s="134" t="s">
        <v>27</v>
      </c>
      <c r="G59" s="135" t="s">
        <v>77</v>
      </c>
      <c r="H59" s="135" t="s">
        <v>16</v>
      </c>
      <c r="I59" s="134" t="s">
        <v>252</v>
      </c>
      <c r="J59" s="134" t="s">
        <v>78</v>
      </c>
      <c r="K59" s="180">
        <f>81130.25-36969.65</f>
        <v>44160.6</v>
      </c>
      <c r="L59" s="180">
        <v>68319.710000000006</v>
      </c>
      <c r="M59" s="180">
        <f>9262.08</f>
        <v>9262.08</v>
      </c>
      <c r="N59" s="180"/>
      <c r="O59" s="180"/>
      <c r="P59" s="180">
        <f t="shared" si="10"/>
        <v>121742.39</v>
      </c>
      <c r="Q59" s="384"/>
    </row>
    <row r="60" spans="1:18" ht="157.5" x14ac:dyDescent="0.2">
      <c r="A60" s="381"/>
      <c r="B60" s="188"/>
      <c r="C60" s="235" t="s">
        <v>138</v>
      </c>
      <c r="D60" s="235" t="s">
        <v>56</v>
      </c>
      <c r="E60" s="134" t="s">
        <v>74</v>
      </c>
      <c r="F60" s="134" t="s">
        <v>27</v>
      </c>
      <c r="G60" s="135" t="s">
        <v>77</v>
      </c>
      <c r="H60" s="135" t="s">
        <v>16</v>
      </c>
      <c r="I60" s="134" t="s">
        <v>253</v>
      </c>
      <c r="J60" s="134" t="s">
        <v>78</v>
      </c>
      <c r="K60" s="180">
        <v>446.06</v>
      </c>
      <c r="L60" s="180">
        <v>746.08</v>
      </c>
      <c r="M60" s="180">
        <f>106.14</f>
        <v>106.14</v>
      </c>
      <c r="N60" s="180"/>
      <c r="O60" s="180"/>
      <c r="P60" s="180">
        <f t="shared" si="10"/>
        <v>1298.2800000000002</v>
      </c>
      <c r="Q60" s="385"/>
    </row>
    <row r="61" spans="1:18" s="337" customFormat="1" ht="72.75" customHeight="1" x14ac:dyDescent="0.2">
      <c r="A61" s="381"/>
      <c r="B61" s="338"/>
      <c r="C61" s="343" t="s">
        <v>139</v>
      </c>
      <c r="D61" s="57" t="s">
        <v>56</v>
      </c>
      <c r="E61" s="63" t="s">
        <v>74</v>
      </c>
      <c r="F61" s="63" t="s">
        <v>27</v>
      </c>
      <c r="G61" s="64" t="s">
        <v>77</v>
      </c>
      <c r="H61" s="64" t="s">
        <v>16</v>
      </c>
      <c r="I61" s="63" t="s">
        <v>259</v>
      </c>
      <c r="J61" s="63" t="s">
        <v>78</v>
      </c>
      <c r="K61" s="138"/>
      <c r="L61" s="67"/>
      <c r="M61" s="67">
        <v>30037.03</v>
      </c>
      <c r="N61" s="67"/>
      <c r="O61" s="67"/>
      <c r="P61" s="67">
        <f t="shared" ref="P61" si="11">K61+L61+M61+N61</f>
        <v>30037.03</v>
      </c>
      <c r="Q61" s="346"/>
    </row>
    <row r="62" spans="1:18" ht="78.75" x14ac:dyDescent="0.2">
      <c r="A62" s="382"/>
      <c r="B62" s="189"/>
      <c r="C62" s="235" t="s">
        <v>111</v>
      </c>
      <c r="D62" s="235" t="s">
        <v>56</v>
      </c>
      <c r="E62" s="237" t="s">
        <v>74</v>
      </c>
      <c r="F62" s="137" t="s">
        <v>27</v>
      </c>
      <c r="G62" s="238" t="s">
        <v>77</v>
      </c>
      <c r="H62" s="238" t="s">
        <v>16</v>
      </c>
      <c r="I62" s="137" t="s">
        <v>247</v>
      </c>
      <c r="J62" s="137" t="s">
        <v>80</v>
      </c>
      <c r="K62" s="180">
        <v>7000</v>
      </c>
      <c r="L62" s="180">
        <v>0</v>
      </c>
      <c r="M62" s="180">
        <v>0</v>
      </c>
      <c r="N62" s="180"/>
      <c r="O62" s="180"/>
      <c r="P62" s="180">
        <f t="shared" si="10"/>
        <v>7000</v>
      </c>
      <c r="Q62" s="205"/>
    </row>
    <row r="63" spans="1:18" ht="236.25" x14ac:dyDescent="0.2">
      <c r="A63" s="99" t="s">
        <v>57</v>
      </c>
      <c r="B63" s="185"/>
      <c r="C63" s="225" t="s">
        <v>58</v>
      </c>
      <c r="D63" s="235" t="s">
        <v>56</v>
      </c>
      <c r="E63" s="133"/>
      <c r="F63" s="133"/>
      <c r="G63" s="233"/>
      <c r="H63" s="135"/>
      <c r="I63" s="134"/>
      <c r="J63" s="133"/>
      <c r="K63" s="180"/>
      <c r="L63" s="180"/>
      <c r="M63" s="180"/>
      <c r="N63" s="180"/>
      <c r="O63" s="180"/>
      <c r="P63" s="180">
        <f t="shared" si="10"/>
        <v>0</v>
      </c>
      <c r="Q63" s="206" t="s">
        <v>85</v>
      </c>
    </row>
    <row r="64" spans="1:18" ht="204.75" x14ac:dyDescent="0.25">
      <c r="A64" s="99" t="s">
        <v>101</v>
      </c>
      <c r="B64" s="207"/>
      <c r="C64" s="208" t="s">
        <v>152</v>
      </c>
      <c r="D64" s="235" t="s">
        <v>56</v>
      </c>
      <c r="E64" s="133" t="s">
        <v>74</v>
      </c>
      <c r="F64" s="133" t="s">
        <v>27</v>
      </c>
      <c r="G64" s="233" t="s">
        <v>77</v>
      </c>
      <c r="H64" s="135" t="s">
        <v>16</v>
      </c>
      <c r="I64" s="134" t="s">
        <v>261</v>
      </c>
      <c r="J64" s="133" t="s">
        <v>80</v>
      </c>
      <c r="K64" s="180">
        <v>6181600</v>
      </c>
      <c r="L64" s="180">
        <v>0</v>
      </c>
      <c r="M64" s="180">
        <v>0</v>
      </c>
      <c r="N64" s="180"/>
      <c r="O64" s="180"/>
      <c r="P64" s="180">
        <f t="shared" si="10"/>
        <v>6181600</v>
      </c>
      <c r="Q64" s="206" t="s">
        <v>155</v>
      </c>
      <c r="R64" s="22" t="s">
        <v>156</v>
      </c>
    </row>
    <row r="65" spans="1:18" s="168" customFormat="1" ht="106.5" customHeight="1" x14ac:dyDescent="0.2">
      <c r="A65" s="99"/>
      <c r="B65" s="207"/>
      <c r="C65" s="374" t="s">
        <v>173</v>
      </c>
      <c r="D65" s="235" t="s">
        <v>56</v>
      </c>
      <c r="E65" s="237" t="s">
        <v>74</v>
      </c>
      <c r="F65" s="137" t="s">
        <v>27</v>
      </c>
      <c r="G65" s="238" t="s">
        <v>77</v>
      </c>
      <c r="H65" s="238" t="s">
        <v>16</v>
      </c>
      <c r="I65" s="237" t="s">
        <v>255</v>
      </c>
      <c r="J65" s="137" t="s">
        <v>78</v>
      </c>
      <c r="K65" s="180">
        <v>2920.72</v>
      </c>
      <c r="L65" s="180"/>
      <c r="M65" s="180"/>
      <c r="N65" s="180"/>
      <c r="O65" s="180"/>
      <c r="P65" s="180">
        <f t="shared" si="10"/>
        <v>2920.72</v>
      </c>
      <c r="Q65" s="206"/>
    </row>
    <row r="66" spans="1:18" s="168" customFormat="1" ht="42.75" customHeight="1" x14ac:dyDescent="0.2">
      <c r="A66" s="99"/>
      <c r="B66" s="207"/>
      <c r="C66" s="375"/>
      <c r="D66" s="235" t="s">
        <v>56</v>
      </c>
      <c r="E66" s="237" t="s">
        <v>74</v>
      </c>
      <c r="F66" s="137" t="s">
        <v>27</v>
      </c>
      <c r="G66" s="238" t="s">
        <v>77</v>
      </c>
      <c r="H66" s="238" t="s">
        <v>16</v>
      </c>
      <c r="I66" s="137" t="s">
        <v>255</v>
      </c>
      <c r="J66" s="137" t="s">
        <v>78</v>
      </c>
      <c r="K66" s="180">
        <v>42334.71</v>
      </c>
      <c r="L66" s="180"/>
      <c r="M66" s="180"/>
      <c r="N66" s="180"/>
      <c r="O66" s="180"/>
      <c r="P66" s="180">
        <f t="shared" si="10"/>
        <v>42334.71</v>
      </c>
      <c r="Q66" s="206"/>
    </row>
    <row r="67" spans="1:18" ht="15.75" customHeight="1" x14ac:dyDescent="0.2">
      <c r="A67" s="99"/>
      <c r="B67" s="99"/>
      <c r="C67" s="235" t="s">
        <v>15</v>
      </c>
      <c r="D67" s="200"/>
      <c r="E67" s="235"/>
      <c r="F67" s="235"/>
      <c r="G67" s="233"/>
      <c r="H67" s="136"/>
      <c r="I67" s="232"/>
      <c r="J67" s="235"/>
      <c r="K67" s="180">
        <f>SUM(K52:K66)</f>
        <v>36915910.470000006</v>
      </c>
      <c r="L67" s="180">
        <f>SUM(L52:L63)</f>
        <v>31875520.450000003</v>
      </c>
      <c r="M67" s="180">
        <f>SUM(M52:M63)</f>
        <v>32459097.549999997</v>
      </c>
      <c r="N67" s="180">
        <f>SUM(N52:N64)</f>
        <v>32082789.449999999</v>
      </c>
      <c r="O67" s="180">
        <f>SUM(O52:O64)</f>
        <v>32082789.449999999</v>
      </c>
      <c r="P67" s="180">
        <f>K67+L67+M67+N67+O67</f>
        <v>165416107.37</v>
      </c>
      <c r="Q67" s="113"/>
    </row>
    <row r="68" spans="1:18" ht="15.75" customHeight="1" x14ac:dyDescent="0.2">
      <c r="A68" s="99" t="s">
        <v>16</v>
      </c>
      <c r="B68" s="103"/>
      <c r="C68" s="405" t="s">
        <v>59</v>
      </c>
      <c r="D68" s="406"/>
      <c r="E68" s="406"/>
      <c r="F68" s="406"/>
      <c r="G68" s="406"/>
      <c r="H68" s="406"/>
      <c r="I68" s="406"/>
      <c r="J68" s="406"/>
      <c r="K68" s="406"/>
      <c r="L68" s="406"/>
      <c r="M68" s="406"/>
      <c r="N68" s="406"/>
      <c r="O68" s="406"/>
      <c r="P68" s="407"/>
      <c r="Q68" s="193"/>
    </row>
    <row r="69" spans="1:18" ht="32.25" customHeight="1" x14ac:dyDescent="0.2">
      <c r="A69" s="380" t="s">
        <v>17</v>
      </c>
      <c r="B69" s="185"/>
      <c r="C69" s="402" t="s">
        <v>122</v>
      </c>
      <c r="D69" s="225" t="s">
        <v>56</v>
      </c>
      <c r="E69" s="133" t="s">
        <v>74</v>
      </c>
      <c r="F69" s="134" t="s">
        <v>27</v>
      </c>
      <c r="G69" s="135" t="s">
        <v>77</v>
      </c>
      <c r="H69" s="135" t="s">
        <v>16</v>
      </c>
      <c r="I69" s="134" t="s">
        <v>262</v>
      </c>
      <c r="J69" s="133" t="s">
        <v>80</v>
      </c>
      <c r="K69" s="239">
        <f>12000</f>
        <v>12000</v>
      </c>
      <c r="L69" s="239">
        <v>0</v>
      </c>
      <c r="M69" s="239">
        <v>0</v>
      </c>
      <c r="N69" s="239"/>
      <c r="O69" s="239"/>
      <c r="P69" s="239">
        <f>SUM(K69:M69)</f>
        <v>12000</v>
      </c>
      <c r="Q69" s="371" t="s">
        <v>86</v>
      </c>
      <c r="R69" s="22" t="s">
        <v>0</v>
      </c>
    </row>
    <row r="70" spans="1:18" ht="33" customHeight="1" x14ac:dyDescent="0.2">
      <c r="A70" s="381"/>
      <c r="B70" s="188"/>
      <c r="C70" s="403"/>
      <c r="D70" s="225" t="s">
        <v>56</v>
      </c>
      <c r="E70" s="133" t="s">
        <v>74</v>
      </c>
      <c r="F70" s="134" t="s">
        <v>27</v>
      </c>
      <c r="G70" s="135" t="s">
        <v>77</v>
      </c>
      <c r="H70" s="135" t="s">
        <v>16</v>
      </c>
      <c r="I70" s="134" t="s">
        <v>262</v>
      </c>
      <c r="J70" s="133" t="s">
        <v>80</v>
      </c>
      <c r="K70" s="239">
        <f>3400</f>
        <v>3400</v>
      </c>
      <c r="L70" s="239"/>
      <c r="M70" s="239"/>
      <c r="N70" s="239"/>
      <c r="O70" s="239"/>
      <c r="P70" s="239">
        <v>3400</v>
      </c>
      <c r="Q70" s="372"/>
      <c r="R70" s="22" t="s">
        <v>147</v>
      </c>
    </row>
    <row r="71" spans="1:18" ht="37.5" customHeight="1" x14ac:dyDescent="0.2">
      <c r="A71" s="382"/>
      <c r="B71" s="189"/>
      <c r="C71" s="404"/>
      <c r="D71" s="225" t="s">
        <v>56</v>
      </c>
      <c r="E71" s="133" t="s">
        <v>74</v>
      </c>
      <c r="F71" s="134" t="s">
        <v>75</v>
      </c>
      <c r="G71" s="135" t="s">
        <v>77</v>
      </c>
      <c r="H71" s="135" t="s">
        <v>16</v>
      </c>
      <c r="I71" s="134" t="s">
        <v>262</v>
      </c>
      <c r="J71" s="133" t="s">
        <v>80</v>
      </c>
      <c r="K71" s="239">
        <f>18200</f>
        <v>18200</v>
      </c>
      <c r="L71" s="239"/>
      <c r="M71" s="239"/>
      <c r="N71" s="239"/>
      <c r="O71" s="239"/>
      <c r="P71" s="239">
        <f t="shared" ref="P71" si="12">SUM(K71:M71)</f>
        <v>18200</v>
      </c>
      <c r="Q71" s="373"/>
      <c r="R71" s="22" t="s">
        <v>102</v>
      </c>
    </row>
    <row r="72" spans="1:18" ht="37.5" customHeight="1" x14ac:dyDescent="0.2">
      <c r="A72" s="380" t="s">
        <v>72</v>
      </c>
      <c r="B72" s="312"/>
      <c r="C72" s="417" t="s">
        <v>151</v>
      </c>
      <c r="D72" s="315" t="s">
        <v>56</v>
      </c>
      <c r="E72" s="133" t="s">
        <v>74</v>
      </c>
      <c r="F72" s="134" t="s">
        <v>27</v>
      </c>
      <c r="G72" s="135" t="s">
        <v>77</v>
      </c>
      <c r="H72" s="135" t="s">
        <v>16</v>
      </c>
      <c r="I72" s="134" t="s">
        <v>263</v>
      </c>
      <c r="J72" s="133" t="s">
        <v>80</v>
      </c>
      <c r="K72" s="239">
        <f>1200000</f>
        <v>1200000</v>
      </c>
      <c r="L72" s="239">
        <v>200000</v>
      </c>
      <c r="M72" s="239">
        <v>350000</v>
      </c>
      <c r="N72" s="239"/>
      <c r="O72" s="239"/>
      <c r="P72" s="239">
        <f>SUM(K72:M72)</f>
        <v>1750000</v>
      </c>
      <c r="Q72" s="314"/>
    </row>
    <row r="73" spans="1:18" ht="37.5" customHeight="1" x14ac:dyDescent="0.2">
      <c r="A73" s="381"/>
      <c r="B73" s="313"/>
      <c r="C73" s="418"/>
      <c r="D73" s="315" t="s">
        <v>56</v>
      </c>
      <c r="E73" s="133" t="s">
        <v>74</v>
      </c>
      <c r="F73" s="134" t="s">
        <v>27</v>
      </c>
      <c r="G73" s="135" t="s">
        <v>77</v>
      </c>
      <c r="H73" s="135" t="s">
        <v>16</v>
      </c>
      <c r="I73" s="134" t="s">
        <v>263</v>
      </c>
      <c r="J73" s="133" t="s">
        <v>80</v>
      </c>
      <c r="K73" s="239">
        <f>340000</f>
        <v>340000</v>
      </c>
      <c r="L73" s="239"/>
      <c r="M73" s="239"/>
      <c r="N73" s="239"/>
      <c r="O73" s="239"/>
      <c r="P73" s="239">
        <v>340000</v>
      </c>
      <c r="Q73" s="314"/>
    </row>
    <row r="74" spans="1:18" ht="63.75" customHeight="1" x14ac:dyDescent="0.2">
      <c r="A74" s="381"/>
      <c r="B74" s="336"/>
      <c r="C74" s="418"/>
      <c r="D74" s="315" t="s">
        <v>56</v>
      </c>
      <c r="E74" s="133" t="s">
        <v>74</v>
      </c>
      <c r="F74" s="134" t="s">
        <v>75</v>
      </c>
      <c r="G74" s="135" t="s">
        <v>77</v>
      </c>
      <c r="H74" s="135" t="s">
        <v>16</v>
      </c>
      <c r="I74" s="134" t="s">
        <v>263</v>
      </c>
      <c r="J74" s="133" t="s">
        <v>80</v>
      </c>
      <c r="K74" s="239">
        <f>320000</f>
        <v>320000</v>
      </c>
      <c r="L74" s="239"/>
      <c r="M74" s="239">
        <v>200000</v>
      </c>
      <c r="N74" s="239"/>
      <c r="O74" s="239"/>
      <c r="P74" s="239">
        <f>K74+M74</f>
        <v>520000</v>
      </c>
      <c r="Q74" s="314"/>
    </row>
    <row r="75" spans="1:18" s="311" customFormat="1" ht="59.25" customHeight="1" x14ac:dyDescent="0.2">
      <c r="A75" s="382"/>
      <c r="B75" s="199"/>
      <c r="C75" s="419"/>
      <c r="D75" s="315" t="s">
        <v>56</v>
      </c>
      <c r="E75" s="62" t="s">
        <v>74</v>
      </c>
      <c r="F75" s="63" t="s">
        <v>27</v>
      </c>
      <c r="G75" s="64" t="s">
        <v>77</v>
      </c>
      <c r="H75" s="64" t="s">
        <v>16</v>
      </c>
      <c r="I75" s="38" t="s">
        <v>263</v>
      </c>
      <c r="J75" s="316" t="s">
        <v>28</v>
      </c>
      <c r="K75" s="181"/>
      <c r="L75" s="129"/>
      <c r="M75" s="129">
        <v>208000</v>
      </c>
      <c r="N75" s="129"/>
      <c r="O75" s="129"/>
      <c r="P75" s="129">
        <f t="shared" ref="P75" si="13">SUM(K75:N75)</f>
        <v>208000</v>
      </c>
      <c r="Q75" s="314"/>
    </row>
    <row r="76" spans="1:18" s="267" customFormat="1" ht="75" customHeight="1" x14ac:dyDescent="0.2">
      <c r="A76" s="380" t="s">
        <v>73</v>
      </c>
      <c r="B76" s="380"/>
      <c r="C76" s="417" t="s">
        <v>216</v>
      </c>
      <c r="D76" s="315" t="s">
        <v>56</v>
      </c>
      <c r="E76" s="133" t="s">
        <v>74</v>
      </c>
      <c r="F76" s="134" t="s">
        <v>27</v>
      </c>
      <c r="G76" s="135" t="s">
        <v>77</v>
      </c>
      <c r="H76" s="135" t="s">
        <v>16</v>
      </c>
      <c r="I76" s="299" t="s">
        <v>262</v>
      </c>
      <c r="J76" s="133" t="s">
        <v>80</v>
      </c>
      <c r="K76" s="239"/>
      <c r="L76" s="239">
        <v>2000</v>
      </c>
      <c r="M76" s="239">
        <f>3500+2100+1600</f>
        <v>7200</v>
      </c>
      <c r="N76" s="239"/>
      <c r="O76" s="239"/>
      <c r="P76" s="239">
        <f t="shared" ref="P76:P77" si="14">SUM(K76:M76)</f>
        <v>9200</v>
      </c>
      <c r="Q76" s="314"/>
    </row>
    <row r="77" spans="1:18" s="310" customFormat="1" ht="66.75" customHeight="1" x14ac:dyDescent="0.2">
      <c r="A77" s="381"/>
      <c r="B77" s="381"/>
      <c r="C77" s="418"/>
      <c r="D77" s="322" t="s">
        <v>56</v>
      </c>
      <c r="E77" s="323" t="s">
        <v>74</v>
      </c>
      <c r="F77" s="324" t="s">
        <v>75</v>
      </c>
      <c r="G77" s="325" t="s">
        <v>77</v>
      </c>
      <c r="H77" s="325" t="s">
        <v>16</v>
      </c>
      <c r="I77" s="326" t="s">
        <v>262</v>
      </c>
      <c r="J77" s="327" t="s">
        <v>80</v>
      </c>
      <c r="K77" s="239"/>
      <c r="L77" s="239"/>
      <c r="M77" s="239">
        <f>2000+2100</f>
        <v>4100</v>
      </c>
      <c r="N77" s="239"/>
      <c r="O77" s="239"/>
      <c r="P77" s="239">
        <f t="shared" si="14"/>
        <v>4100</v>
      </c>
      <c r="Q77" s="314"/>
    </row>
    <row r="78" spans="1:18" s="311" customFormat="1" ht="66.75" customHeight="1" x14ac:dyDescent="0.2">
      <c r="A78" s="382"/>
      <c r="B78" s="382"/>
      <c r="C78" s="419"/>
      <c r="D78" s="329" t="s">
        <v>56</v>
      </c>
      <c r="E78" s="331" t="s">
        <v>74</v>
      </c>
      <c r="F78" s="332" t="s">
        <v>27</v>
      </c>
      <c r="G78" s="332" t="s">
        <v>77</v>
      </c>
      <c r="H78" s="333" t="s">
        <v>16</v>
      </c>
      <c r="I78" s="334" t="s">
        <v>262</v>
      </c>
      <c r="J78" s="335" t="s">
        <v>28</v>
      </c>
      <c r="K78" s="329"/>
      <c r="L78" s="329"/>
      <c r="M78" s="329">
        <f>4206+94</f>
        <v>4300</v>
      </c>
      <c r="N78" s="329"/>
      <c r="O78" s="329"/>
      <c r="P78" s="329">
        <f>M78</f>
        <v>4300</v>
      </c>
      <c r="Q78" s="314"/>
    </row>
    <row r="79" spans="1:18" x14ac:dyDescent="0.2">
      <c r="A79" s="99"/>
      <c r="B79" s="99"/>
      <c r="C79" s="235" t="s">
        <v>18</v>
      </c>
      <c r="D79" s="200"/>
      <c r="E79" s="235"/>
      <c r="F79" s="235"/>
      <c r="G79" s="233"/>
      <c r="H79" s="136"/>
      <c r="I79" s="232"/>
      <c r="J79" s="235"/>
      <c r="K79" s="239">
        <f>SUM(K69:K74)</f>
        <v>1893600</v>
      </c>
      <c r="L79" s="239">
        <f>SUM(L69:L76)</f>
        <v>202000</v>
      </c>
      <c r="M79" s="239">
        <f>SUM(M69:M78)</f>
        <v>773600</v>
      </c>
      <c r="N79" s="239">
        <f>SUM(N69:N74)</f>
        <v>0</v>
      </c>
      <c r="O79" s="239"/>
      <c r="P79" s="239">
        <f>SUM(P69:P78)</f>
        <v>2869200</v>
      </c>
      <c r="Q79" s="113"/>
    </row>
    <row r="80" spans="1:18" ht="15.75" customHeight="1" x14ac:dyDescent="0.2">
      <c r="A80" s="99" t="s">
        <v>19</v>
      </c>
      <c r="B80" s="103"/>
      <c r="C80" s="405" t="s">
        <v>220</v>
      </c>
      <c r="D80" s="406"/>
      <c r="E80" s="406"/>
      <c r="F80" s="406"/>
      <c r="G80" s="406"/>
      <c r="H80" s="406"/>
      <c r="I80" s="406"/>
      <c r="J80" s="406"/>
      <c r="K80" s="406"/>
      <c r="L80" s="406"/>
      <c r="M80" s="406"/>
      <c r="N80" s="406"/>
      <c r="O80" s="406"/>
      <c r="P80" s="407"/>
      <c r="Q80" s="193"/>
    </row>
    <row r="81" spans="1:18" x14ac:dyDescent="0.2">
      <c r="A81" s="380" t="s">
        <v>20</v>
      </c>
      <c r="B81" s="185"/>
      <c r="C81" s="408" t="s">
        <v>60</v>
      </c>
      <c r="D81" s="225" t="s">
        <v>56</v>
      </c>
      <c r="E81" s="133" t="s">
        <v>74</v>
      </c>
      <c r="F81" s="134" t="s">
        <v>27</v>
      </c>
      <c r="G81" s="135" t="s">
        <v>77</v>
      </c>
      <c r="H81" s="135" t="s">
        <v>16</v>
      </c>
      <c r="I81" s="90" t="s">
        <v>248</v>
      </c>
      <c r="J81" s="133" t="s">
        <v>28</v>
      </c>
      <c r="K81" s="180">
        <v>2126280</v>
      </c>
      <c r="L81" s="180">
        <v>0</v>
      </c>
      <c r="M81" s="180">
        <v>0</v>
      </c>
      <c r="N81" s="180">
        <v>0</v>
      </c>
      <c r="O81" s="180"/>
      <c r="P81" s="180">
        <f>SUM(K81:N81)</f>
        <v>2126280</v>
      </c>
      <c r="Q81" s="371" t="s">
        <v>95</v>
      </c>
      <c r="R81" s="221" t="s">
        <v>185</v>
      </c>
    </row>
    <row r="82" spans="1:18" x14ac:dyDescent="0.2">
      <c r="A82" s="381"/>
      <c r="B82" s="188"/>
      <c r="C82" s="409"/>
      <c r="D82" s="225" t="s">
        <v>56</v>
      </c>
      <c r="E82" s="133" t="s">
        <v>74</v>
      </c>
      <c r="F82" s="134" t="s">
        <v>27</v>
      </c>
      <c r="G82" s="135" t="s">
        <v>77</v>
      </c>
      <c r="H82" s="135" t="s">
        <v>16</v>
      </c>
      <c r="I82" s="90" t="s">
        <v>248</v>
      </c>
      <c r="J82" s="133" t="s">
        <v>28</v>
      </c>
      <c r="K82" s="180">
        <v>662220</v>
      </c>
      <c r="L82" s="180">
        <f>345000+65100+10000</f>
        <v>420100</v>
      </c>
      <c r="M82" s="180">
        <f>75500+30000-250+30000+30000+20000</f>
        <v>185250</v>
      </c>
      <c r="N82" s="180">
        <f>75500+30000-250</f>
        <v>105250</v>
      </c>
      <c r="O82" s="180">
        <f>75500+30000-250</f>
        <v>105250</v>
      </c>
      <c r="P82" s="180">
        <f>SUM(K82:O82)</f>
        <v>1478070</v>
      </c>
      <c r="Q82" s="372"/>
    </row>
    <row r="83" spans="1:18" x14ac:dyDescent="0.2">
      <c r="A83" s="381"/>
      <c r="B83" s="188"/>
      <c r="C83" s="409"/>
      <c r="D83" s="225" t="s">
        <v>56</v>
      </c>
      <c r="E83" s="133" t="s">
        <v>74</v>
      </c>
      <c r="F83" s="134" t="s">
        <v>75</v>
      </c>
      <c r="G83" s="135" t="s">
        <v>77</v>
      </c>
      <c r="H83" s="135" t="s">
        <v>16</v>
      </c>
      <c r="I83" s="90" t="s">
        <v>248</v>
      </c>
      <c r="J83" s="133" t="s">
        <v>80</v>
      </c>
      <c r="K83" s="180">
        <v>18500</v>
      </c>
      <c r="L83" s="180">
        <f>20000-2050</f>
        <v>17950</v>
      </c>
      <c r="M83" s="180">
        <f>20000-2000-2100-721.7</f>
        <v>15178.3</v>
      </c>
      <c r="N83" s="180">
        <v>20000</v>
      </c>
      <c r="O83" s="180">
        <v>20000</v>
      </c>
      <c r="P83" s="180">
        <f t="shared" ref="P83:P92" si="15">SUM(K83:O83)</f>
        <v>91628.3</v>
      </c>
      <c r="Q83" s="372"/>
    </row>
    <row r="84" spans="1:18" x14ac:dyDescent="0.2">
      <c r="A84" s="381"/>
      <c r="B84" s="188"/>
      <c r="C84" s="409"/>
      <c r="D84" s="225" t="s">
        <v>56</v>
      </c>
      <c r="E84" s="240" t="s">
        <v>74</v>
      </c>
      <c r="F84" s="241" t="s">
        <v>27</v>
      </c>
      <c r="G84" s="242" t="s">
        <v>77</v>
      </c>
      <c r="H84" s="242" t="s">
        <v>16</v>
      </c>
      <c r="I84" s="90" t="s">
        <v>248</v>
      </c>
      <c r="J84" s="240" t="s">
        <v>80</v>
      </c>
      <c r="K84" s="180"/>
      <c r="L84" s="180">
        <f>1591000+20000+50000-546-2000+80000-80000-37559</f>
        <v>1620895</v>
      </c>
      <c r="M84" s="180">
        <f>537000+103000+110000-20000-3500+180000-2100-1600</f>
        <v>902800</v>
      </c>
      <c r="N84" s="180">
        <f>537000+103000+110000-20000</f>
        <v>730000</v>
      </c>
      <c r="O84" s="180">
        <f>537000+103000+110000-20000</f>
        <v>730000</v>
      </c>
      <c r="P84" s="180">
        <f t="shared" si="15"/>
        <v>3983695</v>
      </c>
      <c r="Q84" s="372"/>
    </row>
    <row r="85" spans="1:18" ht="31.5" hidden="1" x14ac:dyDescent="0.2">
      <c r="A85" s="381"/>
      <c r="B85" s="188"/>
      <c r="C85" s="409"/>
      <c r="D85" s="225" t="s">
        <v>161</v>
      </c>
      <c r="E85" s="133" t="s">
        <v>74</v>
      </c>
      <c r="F85" s="133" t="s">
        <v>27</v>
      </c>
      <c r="G85" s="233" t="s">
        <v>77</v>
      </c>
      <c r="H85" s="135" t="s">
        <v>16</v>
      </c>
      <c r="I85" s="134" t="s">
        <v>97</v>
      </c>
      <c r="J85" s="133" t="s">
        <v>80</v>
      </c>
      <c r="K85" s="180">
        <v>0</v>
      </c>
      <c r="L85" s="180">
        <f>15000+10000+20000+20000+10000+33000+10000+15000+869000+10000+20000+30000+16000+20000</f>
        <v>1098000</v>
      </c>
      <c r="M85" s="180">
        <f>15000+10000+20000+20000+10000+33000+10000+15000+869000+10000+20000+30000+16000+20000+200000</f>
        <v>1298000</v>
      </c>
      <c r="N85" s="180">
        <f>15000+10000+20000+20000+10000+33000+10000+15000+869000+10000+20000+30000+16000+20000+200000</f>
        <v>1298000</v>
      </c>
      <c r="O85" s="180">
        <f>15000+10000+20000+20000+10000+33000+10000+15000+869000+10000+20000+30000+16000+20000+200000</f>
        <v>1298000</v>
      </c>
      <c r="P85" s="180">
        <f t="shared" si="15"/>
        <v>4992000</v>
      </c>
      <c r="Q85" s="372"/>
    </row>
    <row r="86" spans="1:18" hidden="1" x14ac:dyDescent="0.2">
      <c r="A86" s="381"/>
      <c r="B86" s="188"/>
      <c r="C86" s="409"/>
      <c r="D86" s="225" t="s">
        <v>164</v>
      </c>
      <c r="E86" s="133" t="s">
        <v>74</v>
      </c>
      <c r="F86" s="134" t="s">
        <v>27</v>
      </c>
      <c r="G86" s="135" t="s">
        <v>77</v>
      </c>
      <c r="H86" s="135" t="s">
        <v>16</v>
      </c>
      <c r="I86" s="134" t="s">
        <v>97</v>
      </c>
      <c r="J86" s="133" t="s">
        <v>80</v>
      </c>
      <c r="K86" s="180">
        <v>0</v>
      </c>
      <c r="L86" s="180">
        <v>110000</v>
      </c>
      <c r="M86" s="180">
        <v>110000</v>
      </c>
      <c r="N86" s="180">
        <v>110000</v>
      </c>
      <c r="O86" s="180">
        <v>110000</v>
      </c>
      <c r="P86" s="180">
        <f t="shared" si="15"/>
        <v>440000</v>
      </c>
      <c r="Q86" s="372"/>
    </row>
    <row r="87" spans="1:18" hidden="1" x14ac:dyDescent="0.2">
      <c r="A87" s="381"/>
      <c r="B87" s="188"/>
      <c r="C87" s="409"/>
      <c r="D87" s="225" t="s">
        <v>162</v>
      </c>
      <c r="E87" s="133" t="s">
        <v>74</v>
      </c>
      <c r="F87" s="134" t="s">
        <v>27</v>
      </c>
      <c r="G87" s="135" t="s">
        <v>77</v>
      </c>
      <c r="H87" s="135" t="s">
        <v>16</v>
      </c>
      <c r="I87" s="134" t="s">
        <v>97</v>
      </c>
      <c r="J87" s="133" t="s">
        <v>80</v>
      </c>
      <c r="K87" s="180">
        <v>0</v>
      </c>
      <c r="L87" s="180">
        <f>60000+20000+28000+15000</f>
        <v>123000</v>
      </c>
      <c r="M87" s="180">
        <f t="shared" ref="M87:O87" si="16">60000+20000+28000+15000</f>
        <v>123000</v>
      </c>
      <c r="N87" s="180">
        <f t="shared" si="16"/>
        <v>123000</v>
      </c>
      <c r="O87" s="180">
        <f t="shared" si="16"/>
        <v>123000</v>
      </c>
      <c r="P87" s="180">
        <f t="shared" si="15"/>
        <v>492000</v>
      </c>
      <c r="Q87" s="372"/>
    </row>
    <row r="88" spans="1:18" hidden="1" x14ac:dyDescent="0.2">
      <c r="A88" s="381"/>
      <c r="B88" s="188"/>
      <c r="C88" s="409"/>
      <c r="D88" s="225" t="s">
        <v>163</v>
      </c>
      <c r="E88" s="133" t="s">
        <v>74</v>
      </c>
      <c r="F88" s="134" t="s">
        <v>27</v>
      </c>
      <c r="G88" s="135" t="s">
        <v>77</v>
      </c>
      <c r="H88" s="135" t="s">
        <v>16</v>
      </c>
      <c r="I88" s="134" t="s">
        <v>97</v>
      </c>
      <c r="J88" s="133" t="s">
        <v>80</v>
      </c>
      <c r="K88" s="180">
        <v>0</v>
      </c>
      <c r="L88" s="180">
        <f>10000+20000+15000</f>
        <v>45000</v>
      </c>
      <c r="M88" s="180">
        <f t="shared" ref="M88:O88" si="17">10000+20000+15000</f>
        <v>45000</v>
      </c>
      <c r="N88" s="180">
        <f t="shared" si="17"/>
        <v>45000</v>
      </c>
      <c r="O88" s="180">
        <f t="shared" si="17"/>
        <v>45000</v>
      </c>
      <c r="P88" s="180">
        <f t="shared" si="15"/>
        <v>180000</v>
      </c>
      <c r="Q88" s="372"/>
    </row>
    <row r="89" spans="1:18" ht="31.5" hidden="1" x14ac:dyDescent="0.2">
      <c r="A89" s="381"/>
      <c r="B89" s="188"/>
      <c r="C89" s="409"/>
      <c r="D89" s="225" t="s">
        <v>165</v>
      </c>
      <c r="E89" s="240" t="s">
        <v>74</v>
      </c>
      <c r="F89" s="241" t="s">
        <v>75</v>
      </c>
      <c r="G89" s="242" t="s">
        <v>77</v>
      </c>
      <c r="H89" s="242" t="s">
        <v>16</v>
      </c>
      <c r="I89" s="241" t="s">
        <v>97</v>
      </c>
      <c r="J89" s="240" t="s">
        <v>80</v>
      </c>
      <c r="K89" s="243">
        <v>18500</v>
      </c>
      <c r="L89" s="243">
        <f>10000+10000</f>
        <v>20000</v>
      </c>
      <c r="M89" s="243">
        <f t="shared" ref="M89:O89" si="18">10000+10000</f>
        <v>20000</v>
      </c>
      <c r="N89" s="243">
        <f t="shared" si="18"/>
        <v>20000</v>
      </c>
      <c r="O89" s="243">
        <f t="shared" si="18"/>
        <v>20000</v>
      </c>
      <c r="P89" s="180">
        <f t="shared" si="15"/>
        <v>98500</v>
      </c>
      <c r="Q89" s="372"/>
    </row>
    <row r="90" spans="1:18" ht="15.75" customHeight="1" x14ac:dyDescent="0.2">
      <c r="A90" s="380" t="s">
        <v>96</v>
      </c>
      <c r="B90" s="185"/>
      <c r="C90" s="402" t="s">
        <v>112</v>
      </c>
      <c r="D90" s="225" t="s">
        <v>56</v>
      </c>
      <c r="E90" s="133" t="s">
        <v>74</v>
      </c>
      <c r="F90" s="134" t="s">
        <v>27</v>
      </c>
      <c r="G90" s="135" t="s">
        <v>77</v>
      </c>
      <c r="H90" s="135" t="s">
        <v>16</v>
      </c>
      <c r="I90" s="134" t="s">
        <v>247</v>
      </c>
      <c r="J90" s="133" t="s">
        <v>28</v>
      </c>
      <c r="K90" s="180">
        <f>300000-29040-15000-100000-33600</f>
        <v>122360</v>
      </c>
      <c r="L90" s="180">
        <v>0</v>
      </c>
      <c r="M90" s="180">
        <v>0</v>
      </c>
      <c r="N90" s="180"/>
      <c r="O90" s="180"/>
      <c r="P90" s="180">
        <f t="shared" si="15"/>
        <v>122360</v>
      </c>
      <c r="Q90" s="209"/>
    </row>
    <row r="91" spans="1:18" x14ac:dyDescent="0.2">
      <c r="A91" s="382"/>
      <c r="B91" s="189"/>
      <c r="C91" s="404"/>
      <c r="D91" s="235" t="s">
        <v>56</v>
      </c>
      <c r="E91" s="133"/>
      <c r="F91" s="134"/>
      <c r="G91" s="135"/>
      <c r="H91" s="135"/>
      <c r="I91" s="134"/>
      <c r="J91" s="133"/>
      <c r="K91" s="180"/>
      <c r="L91" s="180"/>
      <c r="M91" s="180">
        <v>0</v>
      </c>
      <c r="N91" s="180"/>
      <c r="O91" s="180"/>
      <c r="P91" s="180">
        <f t="shared" si="15"/>
        <v>0</v>
      </c>
      <c r="Q91" s="210"/>
    </row>
    <row r="92" spans="1:18" x14ac:dyDescent="0.2">
      <c r="A92" s="189"/>
      <c r="B92" s="189"/>
      <c r="C92" s="226" t="s">
        <v>21</v>
      </c>
      <c r="D92" s="244"/>
      <c r="E92" s="226"/>
      <c r="F92" s="226"/>
      <c r="G92" s="245"/>
      <c r="H92" s="246"/>
      <c r="I92" s="247"/>
      <c r="J92" s="226"/>
      <c r="K92" s="248">
        <f>K81+K82+K83+K84+K90+K91</f>
        <v>2929360</v>
      </c>
      <c r="L92" s="248">
        <f>SUM(L82:L84)</f>
        <v>2058945</v>
      </c>
      <c r="M92" s="248">
        <f t="shared" ref="M92:N92" si="19">SUM(M82:M84)</f>
        <v>1103228.3</v>
      </c>
      <c r="N92" s="248">
        <f t="shared" si="19"/>
        <v>855250</v>
      </c>
      <c r="O92" s="248">
        <f t="shared" ref="O92" si="20">SUM(O82:O84)</f>
        <v>855250</v>
      </c>
      <c r="P92" s="180">
        <f t="shared" si="15"/>
        <v>7802033.2999999998</v>
      </c>
      <c r="Q92" s="113"/>
    </row>
    <row r="93" spans="1:18" ht="31.5" x14ac:dyDescent="0.2">
      <c r="A93" s="380" t="s">
        <v>19</v>
      </c>
      <c r="B93" s="388" t="s">
        <v>53</v>
      </c>
      <c r="C93" s="391" t="s">
        <v>195</v>
      </c>
      <c r="D93" s="200" t="s">
        <v>140</v>
      </c>
      <c r="E93" s="230"/>
      <c r="F93" s="230"/>
      <c r="G93" s="230"/>
      <c r="H93" s="230"/>
      <c r="I93" s="230"/>
      <c r="J93" s="230"/>
      <c r="K93" s="191">
        <f>K113+K116+K125+K144+K154</f>
        <v>13644150.699999999</v>
      </c>
      <c r="L93" s="191">
        <f>L113+L116+L125+L144+L154</f>
        <v>15354612.059999999</v>
      </c>
      <c r="M93" s="191">
        <f>M113+M116+M125+M144+M154</f>
        <v>12616644.059999999</v>
      </c>
      <c r="N93" s="191">
        <f>N113+N116+N125+N144+N154</f>
        <v>12057989.939999999</v>
      </c>
      <c r="O93" s="191">
        <f>O113+O116+O125+O144+O154</f>
        <v>12057989.939999999</v>
      </c>
      <c r="P93" s="231">
        <f>SUM(K93:O93)</f>
        <v>65731386.699999988</v>
      </c>
      <c r="Q93" s="193"/>
    </row>
    <row r="94" spans="1:18" x14ac:dyDescent="0.2">
      <c r="A94" s="381"/>
      <c r="B94" s="389"/>
      <c r="C94" s="394"/>
      <c r="D94" s="200" t="s">
        <v>25</v>
      </c>
      <c r="E94" s="230"/>
      <c r="F94" s="230"/>
      <c r="G94" s="230"/>
      <c r="H94" s="230"/>
      <c r="I94" s="230"/>
      <c r="J94" s="230"/>
      <c r="K94" s="191"/>
      <c r="L94" s="230"/>
      <c r="M94" s="230"/>
      <c r="N94" s="230"/>
      <c r="O94" s="230"/>
      <c r="P94" s="231">
        <f t="shared" ref="P94:P98" si="21">SUM(K94:O94)</f>
        <v>0</v>
      </c>
      <c r="Q94" s="193"/>
    </row>
    <row r="95" spans="1:18" s="357" customFormat="1" ht="47.25" x14ac:dyDescent="0.2">
      <c r="A95" s="381"/>
      <c r="B95" s="389"/>
      <c r="C95" s="394"/>
      <c r="D95" s="200" t="s">
        <v>288</v>
      </c>
      <c r="E95" s="230" t="s">
        <v>48</v>
      </c>
      <c r="F95" s="230" t="s">
        <v>48</v>
      </c>
      <c r="G95" s="230" t="s">
        <v>48</v>
      </c>
      <c r="H95" s="230" t="s">
        <v>48</v>
      </c>
      <c r="I95" s="230" t="s">
        <v>48</v>
      </c>
      <c r="J95" s="230" t="s">
        <v>48</v>
      </c>
      <c r="K95" s="191"/>
      <c r="L95" s="230"/>
      <c r="M95" s="191">
        <f>M111</f>
        <v>35360</v>
      </c>
      <c r="N95" s="230"/>
      <c r="O95" s="230"/>
      <c r="P95" s="231">
        <f t="shared" si="21"/>
        <v>35360</v>
      </c>
      <c r="Q95" s="193"/>
    </row>
    <row r="96" spans="1:18" ht="63.75" customHeight="1" x14ac:dyDescent="0.2">
      <c r="A96" s="381"/>
      <c r="B96" s="389"/>
      <c r="C96" s="394"/>
      <c r="D96" s="200" t="s">
        <v>192</v>
      </c>
      <c r="E96" s="230" t="s">
        <v>48</v>
      </c>
      <c r="F96" s="230" t="s">
        <v>48</v>
      </c>
      <c r="G96" s="230" t="s">
        <v>48</v>
      </c>
      <c r="H96" s="230" t="s">
        <v>48</v>
      </c>
      <c r="I96" s="230" t="s">
        <v>48</v>
      </c>
      <c r="J96" s="230" t="s">
        <v>48</v>
      </c>
      <c r="K96" s="191">
        <f>425269.2+65974.35+400000+76955.72</f>
        <v>968199.27</v>
      </c>
      <c r="L96" s="191">
        <f>L102+L104+L105+L109+L141+L142+L143+L153</f>
        <v>1262658.05</v>
      </c>
      <c r="M96" s="191">
        <f>M102+M104+M105</f>
        <v>169961.31</v>
      </c>
      <c r="N96" s="191"/>
      <c r="O96" s="191"/>
      <c r="P96" s="231">
        <f t="shared" si="21"/>
        <v>2400818.6300000004</v>
      </c>
      <c r="Q96" s="193"/>
    </row>
    <row r="97" spans="1:18" ht="64.5" customHeight="1" x14ac:dyDescent="0.2">
      <c r="A97" s="381"/>
      <c r="B97" s="389"/>
      <c r="C97" s="394"/>
      <c r="D97" s="200" t="s">
        <v>193</v>
      </c>
      <c r="E97" s="230" t="s">
        <v>48</v>
      </c>
      <c r="F97" s="230" t="s">
        <v>48</v>
      </c>
      <c r="G97" s="230" t="s">
        <v>48</v>
      </c>
      <c r="H97" s="230" t="s">
        <v>48</v>
      </c>
      <c r="I97" s="230" t="s">
        <v>48</v>
      </c>
      <c r="J97" s="230" t="s">
        <v>48</v>
      </c>
      <c r="K97" s="191">
        <f>K113+K116+K125+K144+K154-K96</f>
        <v>12675951.43</v>
      </c>
      <c r="L97" s="191">
        <f>L113+L116+L125+L144+L154-L96</f>
        <v>14091954.009999998</v>
      </c>
      <c r="M97" s="191">
        <f>M113+M116+M125+M144+M154-M96-M111</f>
        <v>12411322.749999998</v>
      </c>
      <c r="N97" s="191">
        <f>N113+N116+N125+N144+N154-N96</f>
        <v>12057989.939999999</v>
      </c>
      <c r="O97" s="191">
        <f>O113+O116+O125+O144+O154-O96</f>
        <v>12057989.939999999</v>
      </c>
      <c r="P97" s="231">
        <f t="shared" si="21"/>
        <v>63295208.069999993</v>
      </c>
      <c r="Q97" s="193"/>
    </row>
    <row r="98" spans="1:18" ht="0.75" hidden="1" customHeight="1" x14ac:dyDescent="0.2">
      <c r="A98" s="382"/>
      <c r="B98" s="390"/>
      <c r="C98" s="395"/>
      <c r="D98" s="200"/>
      <c r="E98" s="230"/>
      <c r="F98" s="230"/>
      <c r="G98" s="230"/>
      <c r="H98" s="230"/>
      <c r="I98" s="230"/>
      <c r="J98" s="230"/>
      <c r="K98" s="191"/>
      <c r="L98" s="191"/>
      <c r="M98" s="191"/>
      <c r="N98" s="191"/>
      <c r="O98" s="191"/>
      <c r="P98" s="231">
        <f t="shared" si="21"/>
        <v>0</v>
      </c>
      <c r="Q98" s="190"/>
    </row>
    <row r="99" spans="1:18" ht="15.75" customHeight="1" x14ac:dyDescent="0.2">
      <c r="A99" s="99" t="s">
        <v>13</v>
      </c>
      <c r="B99" s="103"/>
      <c r="C99" s="405" t="s">
        <v>32</v>
      </c>
      <c r="D99" s="406"/>
      <c r="E99" s="406"/>
      <c r="F99" s="406"/>
      <c r="G99" s="406"/>
      <c r="H99" s="406"/>
      <c r="I99" s="406"/>
      <c r="J99" s="406"/>
      <c r="K99" s="406"/>
      <c r="L99" s="406"/>
      <c r="M99" s="406"/>
      <c r="N99" s="406"/>
      <c r="O99" s="406"/>
      <c r="P99" s="407"/>
      <c r="Q99" s="190"/>
    </row>
    <row r="100" spans="1:18" ht="78.75" x14ac:dyDescent="0.2">
      <c r="A100" s="380" t="s">
        <v>30</v>
      </c>
      <c r="B100" s="185"/>
      <c r="C100" s="235" t="s">
        <v>123</v>
      </c>
      <c r="D100" s="235" t="s">
        <v>56</v>
      </c>
      <c r="E100" s="133" t="s">
        <v>74</v>
      </c>
      <c r="F100" s="133" t="s">
        <v>75</v>
      </c>
      <c r="G100" s="233" t="s">
        <v>77</v>
      </c>
      <c r="H100" s="136">
        <v>3</v>
      </c>
      <c r="I100" s="38" t="s">
        <v>244</v>
      </c>
      <c r="J100" s="133" t="s">
        <v>78</v>
      </c>
      <c r="K100" s="180">
        <f>8302599.58+430220</f>
        <v>8732819.5800000001</v>
      </c>
      <c r="L100" s="180">
        <v>9721438.6699999999</v>
      </c>
      <c r="M100" s="180">
        <f>9858916.43+260711.73+309600+63011.11-202.52</f>
        <v>10492036.75</v>
      </c>
      <c r="N100" s="180">
        <v>10119628.16</v>
      </c>
      <c r="O100" s="180">
        <f>N100</f>
        <v>10119628.16</v>
      </c>
      <c r="P100" s="180">
        <f>SUM(K100:O100)</f>
        <v>49185551.319999993</v>
      </c>
      <c r="Q100" s="371" t="s">
        <v>87</v>
      </c>
    </row>
    <row r="101" spans="1:18" s="168" customFormat="1" ht="81.75" customHeight="1" x14ac:dyDescent="0.2">
      <c r="A101" s="381"/>
      <c r="B101" s="188"/>
      <c r="C101" s="235" t="s">
        <v>173</v>
      </c>
      <c r="D101" s="235" t="s">
        <v>56</v>
      </c>
      <c r="E101" s="133" t="s">
        <v>74</v>
      </c>
      <c r="F101" s="134" t="s">
        <v>75</v>
      </c>
      <c r="G101" s="135" t="s">
        <v>77</v>
      </c>
      <c r="H101" s="136">
        <v>3</v>
      </c>
      <c r="I101" s="134" t="s">
        <v>255</v>
      </c>
      <c r="J101" s="134" t="s">
        <v>78</v>
      </c>
      <c r="K101" s="180">
        <v>13524.67</v>
      </c>
      <c r="L101" s="180"/>
      <c r="M101" s="180"/>
      <c r="N101" s="180"/>
      <c r="O101" s="180"/>
      <c r="P101" s="180">
        <f t="shared" ref="P101:P112" si="22">SUM(K101:O101)</f>
        <v>13524.67</v>
      </c>
      <c r="Q101" s="372"/>
    </row>
    <row r="102" spans="1:18" ht="126" x14ac:dyDescent="0.2">
      <c r="A102" s="381"/>
      <c r="B102" s="188"/>
      <c r="C102" s="235" t="s">
        <v>137</v>
      </c>
      <c r="D102" s="235" t="s">
        <v>56</v>
      </c>
      <c r="E102" s="133" t="s">
        <v>74</v>
      </c>
      <c r="F102" s="134" t="s">
        <v>75</v>
      </c>
      <c r="G102" s="135" t="s">
        <v>77</v>
      </c>
      <c r="H102" s="136">
        <v>3</v>
      </c>
      <c r="I102" s="134" t="s">
        <v>252</v>
      </c>
      <c r="J102" s="134" t="s">
        <v>78</v>
      </c>
      <c r="K102" s="180">
        <f>316171.33+63431.05</f>
        <v>379602.38</v>
      </c>
      <c r="L102" s="180">
        <v>230464.58</v>
      </c>
      <c r="M102" s="180">
        <v>17672.509999999998</v>
      </c>
      <c r="N102" s="180"/>
      <c r="O102" s="180"/>
      <c r="P102" s="180">
        <f t="shared" si="22"/>
        <v>627739.47</v>
      </c>
      <c r="Q102" s="411"/>
    </row>
    <row r="103" spans="1:18" ht="157.5" x14ac:dyDescent="0.2">
      <c r="A103" s="381"/>
      <c r="B103" s="188"/>
      <c r="C103" s="235" t="s">
        <v>138</v>
      </c>
      <c r="D103" s="235" t="s">
        <v>56</v>
      </c>
      <c r="E103" s="133" t="s">
        <v>74</v>
      </c>
      <c r="F103" s="134" t="s">
        <v>75</v>
      </c>
      <c r="G103" s="135" t="s">
        <v>77</v>
      </c>
      <c r="H103" s="136">
        <v>3</v>
      </c>
      <c r="I103" s="134" t="s">
        <v>253</v>
      </c>
      <c r="J103" s="134" t="s">
        <v>78</v>
      </c>
      <c r="K103" s="180">
        <v>4111.0200000000004</v>
      </c>
      <c r="L103" s="180">
        <v>2669.95</v>
      </c>
      <c r="M103" s="180">
        <f>202.52</f>
        <v>202.52</v>
      </c>
      <c r="N103" s="180"/>
      <c r="O103" s="180"/>
      <c r="P103" s="180">
        <f t="shared" si="22"/>
        <v>6983.4900000000007</v>
      </c>
      <c r="Q103" s="401"/>
    </row>
    <row r="104" spans="1:18" ht="63" x14ac:dyDescent="0.2">
      <c r="A104" s="382"/>
      <c r="B104" s="189"/>
      <c r="C104" s="235" t="s">
        <v>139</v>
      </c>
      <c r="D104" s="235" t="s">
        <v>56</v>
      </c>
      <c r="E104" s="134" t="s">
        <v>74</v>
      </c>
      <c r="F104" s="134" t="s">
        <v>75</v>
      </c>
      <c r="G104" s="135" t="s">
        <v>77</v>
      </c>
      <c r="H104" s="136">
        <v>3</v>
      </c>
      <c r="I104" s="134" t="s">
        <v>259</v>
      </c>
      <c r="J104" s="134" t="s">
        <v>78</v>
      </c>
      <c r="K104" s="180">
        <f>141865.92+65974.35</f>
        <v>207840.27000000002</v>
      </c>
      <c r="L104" s="180">
        <v>151884.69</v>
      </c>
      <c r="M104" s="180">
        <v>152288.79999999999</v>
      </c>
      <c r="N104" s="180"/>
      <c r="O104" s="180"/>
      <c r="P104" s="180">
        <f t="shared" si="22"/>
        <v>512013.76</v>
      </c>
      <c r="Q104" s="211"/>
      <c r="R104" s="22" t="s">
        <v>102</v>
      </c>
    </row>
    <row r="105" spans="1:18" ht="141.75" x14ac:dyDescent="0.2">
      <c r="A105" s="99" t="s">
        <v>14</v>
      </c>
      <c r="B105" s="99"/>
      <c r="C105" s="235" t="s">
        <v>33</v>
      </c>
      <c r="D105" s="235" t="s">
        <v>56</v>
      </c>
      <c r="E105" s="133" t="s">
        <v>74</v>
      </c>
      <c r="F105" s="133" t="s">
        <v>75</v>
      </c>
      <c r="G105" s="233" t="s">
        <v>77</v>
      </c>
      <c r="H105" s="136">
        <v>3</v>
      </c>
      <c r="I105" s="134" t="s">
        <v>264</v>
      </c>
      <c r="J105" s="133" t="s">
        <v>80</v>
      </c>
      <c r="K105" s="180"/>
      <c r="L105" s="180">
        <v>202950</v>
      </c>
      <c r="M105" s="180"/>
      <c r="N105" s="180"/>
      <c r="O105" s="180"/>
      <c r="P105" s="180">
        <f t="shared" si="22"/>
        <v>202950</v>
      </c>
      <c r="Q105" s="206" t="s">
        <v>91</v>
      </c>
    </row>
    <row r="106" spans="1:18" ht="94.5" x14ac:dyDescent="0.2">
      <c r="A106" s="99" t="s">
        <v>57</v>
      </c>
      <c r="B106" s="185"/>
      <c r="C106" s="225" t="s">
        <v>113</v>
      </c>
      <c r="D106" s="235" t="s">
        <v>56</v>
      </c>
      <c r="E106" s="133" t="s">
        <v>74</v>
      </c>
      <c r="F106" s="133" t="s">
        <v>75</v>
      </c>
      <c r="G106" s="233" t="s">
        <v>77</v>
      </c>
      <c r="H106" s="136">
        <v>3</v>
      </c>
      <c r="I106" s="134" t="s">
        <v>260</v>
      </c>
      <c r="J106" s="133" t="s">
        <v>80</v>
      </c>
      <c r="K106" s="180">
        <v>0</v>
      </c>
      <c r="L106" s="180">
        <v>0</v>
      </c>
      <c r="M106" s="180">
        <v>0</v>
      </c>
      <c r="N106" s="180"/>
      <c r="O106" s="180"/>
      <c r="P106" s="180">
        <f t="shared" si="22"/>
        <v>0</v>
      </c>
      <c r="Q106" s="206" t="s">
        <v>104</v>
      </c>
    </row>
    <row r="107" spans="1:18" ht="42.75" customHeight="1" x14ac:dyDescent="0.2">
      <c r="A107" s="99" t="s">
        <v>101</v>
      </c>
      <c r="B107" s="185"/>
      <c r="C107" s="225" t="s">
        <v>34</v>
      </c>
      <c r="D107" s="235" t="s">
        <v>56</v>
      </c>
      <c r="E107" s="133" t="s">
        <v>74</v>
      </c>
      <c r="F107" s="133" t="s">
        <v>27</v>
      </c>
      <c r="G107" s="233" t="s">
        <v>77</v>
      </c>
      <c r="H107" s="136">
        <v>3</v>
      </c>
      <c r="I107" s="134" t="s">
        <v>265</v>
      </c>
      <c r="J107" s="133" t="s">
        <v>80</v>
      </c>
      <c r="K107" s="180">
        <f>300+62924</f>
        <v>63224</v>
      </c>
      <c r="L107" s="180">
        <v>0</v>
      </c>
      <c r="M107" s="180">
        <v>0</v>
      </c>
      <c r="N107" s="180"/>
      <c r="O107" s="180"/>
      <c r="P107" s="180">
        <f t="shared" si="22"/>
        <v>63224</v>
      </c>
      <c r="Q107" s="206" t="s">
        <v>92</v>
      </c>
    </row>
    <row r="108" spans="1:18" s="267" customFormat="1" ht="189" x14ac:dyDescent="0.2">
      <c r="A108" s="268" t="s">
        <v>159</v>
      </c>
      <c r="B108" s="99"/>
      <c r="C108" s="271" t="s">
        <v>218</v>
      </c>
      <c r="D108" s="235" t="s">
        <v>56</v>
      </c>
      <c r="E108" s="133" t="s">
        <v>74</v>
      </c>
      <c r="F108" s="133" t="s">
        <v>75</v>
      </c>
      <c r="G108" s="233" t="s">
        <v>77</v>
      </c>
      <c r="H108" s="136">
        <v>3</v>
      </c>
      <c r="I108" s="134" t="s">
        <v>266</v>
      </c>
      <c r="J108" s="133" t="s">
        <v>80</v>
      </c>
      <c r="K108" s="180"/>
      <c r="L108" s="180">
        <v>2050</v>
      </c>
      <c r="M108" s="180"/>
      <c r="N108" s="180"/>
      <c r="O108" s="180"/>
      <c r="P108" s="180">
        <f t="shared" si="22"/>
        <v>2050</v>
      </c>
      <c r="Q108" s="206" t="s">
        <v>91</v>
      </c>
    </row>
    <row r="109" spans="1:18" s="267" customFormat="1" ht="42.75" customHeight="1" x14ac:dyDescent="0.2">
      <c r="A109" s="268" t="s">
        <v>174</v>
      </c>
      <c r="B109" s="265"/>
      <c r="C109" s="266" t="s">
        <v>34</v>
      </c>
      <c r="D109" s="235" t="s">
        <v>56</v>
      </c>
      <c r="E109" s="133" t="s">
        <v>74</v>
      </c>
      <c r="F109" s="133" t="s">
        <v>27</v>
      </c>
      <c r="G109" s="233" t="s">
        <v>77</v>
      </c>
      <c r="H109" s="136">
        <v>3</v>
      </c>
      <c r="I109" s="134" t="s">
        <v>267</v>
      </c>
      <c r="J109" s="133" t="s">
        <v>80</v>
      </c>
      <c r="K109" s="180"/>
      <c r="L109" s="180">
        <v>54000</v>
      </c>
      <c r="M109" s="180">
        <v>0</v>
      </c>
      <c r="N109" s="180"/>
      <c r="O109" s="180"/>
      <c r="P109" s="180">
        <f t="shared" si="22"/>
        <v>54000</v>
      </c>
      <c r="Q109" s="206" t="s">
        <v>92</v>
      </c>
    </row>
    <row r="110" spans="1:18" s="267" customFormat="1" ht="68.25" customHeight="1" x14ac:dyDescent="0.2">
      <c r="A110" s="268" t="s">
        <v>198</v>
      </c>
      <c r="B110" s="265"/>
      <c r="C110" s="236" t="s">
        <v>217</v>
      </c>
      <c r="D110" s="235" t="s">
        <v>56</v>
      </c>
      <c r="E110" s="133" t="s">
        <v>74</v>
      </c>
      <c r="F110" s="133" t="s">
        <v>27</v>
      </c>
      <c r="G110" s="233" t="s">
        <v>77</v>
      </c>
      <c r="H110" s="136">
        <v>3</v>
      </c>
      <c r="I110" s="134" t="s">
        <v>265</v>
      </c>
      <c r="J110" s="133" t="s">
        <v>80</v>
      </c>
      <c r="K110" s="180"/>
      <c r="L110" s="180">
        <v>546</v>
      </c>
      <c r="M110" s="180">
        <v>0</v>
      </c>
      <c r="N110" s="180"/>
      <c r="O110" s="180"/>
      <c r="P110" s="180">
        <f t="shared" si="22"/>
        <v>546</v>
      </c>
      <c r="Q110" s="206" t="s">
        <v>92</v>
      </c>
    </row>
    <row r="111" spans="1:18" s="348" customFormat="1" ht="272.25" customHeight="1" x14ac:dyDescent="0.2">
      <c r="A111" s="99" t="s">
        <v>228</v>
      </c>
      <c r="B111" s="349"/>
      <c r="C111" s="352" t="s">
        <v>286</v>
      </c>
      <c r="D111" s="351" t="s">
        <v>56</v>
      </c>
      <c r="E111" s="350" t="s">
        <v>74</v>
      </c>
      <c r="F111" s="350" t="s">
        <v>75</v>
      </c>
      <c r="G111" s="28" t="s">
        <v>77</v>
      </c>
      <c r="H111" s="347">
        <v>3</v>
      </c>
      <c r="I111" s="38" t="s">
        <v>285</v>
      </c>
      <c r="J111" s="350" t="s">
        <v>80</v>
      </c>
      <c r="K111" s="176"/>
      <c r="L111" s="67"/>
      <c r="M111" s="67">
        <v>35360</v>
      </c>
      <c r="N111" s="67"/>
      <c r="O111" s="67"/>
      <c r="P111" s="118">
        <f t="shared" si="22"/>
        <v>35360</v>
      </c>
      <c r="Q111" s="206"/>
    </row>
    <row r="112" spans="1:18" s="348" customFormat="1" ht="313.5" customHeight="1" x14ac:dyDescent="0.2">
      <c r="A112" s="99" t="s">
        <v>278</v>
      </c>
      <c r="B112" s="349"/>
      <c r="C112" s="352" t="s">
        <v>287</v>
      </c>
      <c r="D112" s="351" t="s">
        <v>56</v>
      </c>
      <c r="E112" s="350" t="s">
        <v>74</v>
      </c>
      <c r="F112" s="350" t="s">
        <v>75</v>
      </c>
      <c r="G112" s="28" t="s">
        <v>77</v>
      </c>
      <c r="H112" s="347">
        <v>3</v>
      </c>
      <c r="I112" s="38" t="s">
        <v>289</v>
      </c>
      <c r="J112" s="350" t="s">
        <v>80</v>
      </c>
      <c r="K112" s="176"/>
      <c r="L112" s="67"/>
      <c r="M112" s="67">
        <v>721.7</v>
      </c>
      <c r="N112" s="67"/>
      <c r="O112" s="67"/>
      <c r="P112" s="118">
        <f t="shared" si="22"/>
        <v>721.7</v>
      </c>
      <c r="Q112" s="206"/>
    </row>
    <row r="113" spans="1:17" x14ac:dyDescent="0.2">
      <c r="A113" s="99"/>
      <c r="B113" s="99"/>
      <c r="C113" s="235" t="s">
        <v>15</v>
      </c>
      <c r="D113" s="200"/>
      <c r="E113" s="235"/>
      <c r="F113" s="235"/>
      <c r="G113" s="233"/>
      <c r="H113" s="136"/>
      <c r="I113" s="232"/>
      <c r="J113" s="235"/>
      <c r="K113" s="180">
        <f>SUM(K100:K107)</f>
        <v>9401121.9199999999</v>
      </c>
      <c r="L113" s="180">
        <f>SUM(L100:L110)</f>
        <v>10366003.889999999</v>
      </c>
      <c r="M113" s="180">
        <f>SUM(M100:M112)</f>
        <v>10698282.279999999</v>
      </c>
      <c r="N113" s="180">
        <f>SUM(N100:N107)</f>
        <v>10119628.16</v>
      </c>
      <c r="O113" s="180">
        <f>SUM(O100:O107)</f>
        <v>10119628.16</v>
      </c>
      <c r="P113" s="180">
        <f>K113+L113+M113+N113+O113</f>
        <v>50704664.409999996</v>
      </c>
      <c r="Q113" s="113"/>
    </row>
    <row r="114" spans="1:17" ht="15.75" customHeight="1" x14ac:dyDescent="0.2">
      <c r="A114" s="99" t="s">
        <v>16</v>
      </c>
      <c r="B114" s="103"/>
      <c r="C114" s="405" t="s">
        <v>35</v>
      </c>
      <c r="D114" s="406"/>
      <c r="E114" s="406"/>
      <c r="F114" s="406"/>
      <c r="G114" s="406"/>
      <c r="H114" s="406"/>
      <c r="I114" s="406"/>
      <c r="J114" s="406"/>
      <c r="K114" s="406"/>
      <c r="L114" s="406"/>
      <c r="M114" s="406"/>
      <c r="N114" s="406"/>
      <c r="O114" s="406"/>
      <c r="P114" s="407"/>
      <c r="Q114" s="193"/>
    </row>
    <row r="115" spans="1:17" ht="125.25" customHeight="1" x14ac:dyDescent="0.2">
      <c r="A115" s="185" t="s">
        <v>17</v>
      </c>
      <c r="B115" s="185"/>
      <c r="C115" s="249" t="s">
        <v>36</v>
      </c>
      <c r="D115" s="225" t="s">
        <v>56</v>
      </c>
      <c r="E115" s="133"/>
      <c r="F115" s="133"/>
      <c r="G115" s="233"/>
      <c r="H115" s="136"/>
      <c r="I115" s="134"/>
      <c r="J115" s="133"/>
      <c r="K115" s="239"/>
      <c r="L115" s="239"/>
      <c r="M115" s="239"/>
      <c r="N115" s="239"/>
      <c r="O115" s="239"/>
      <c r="P115" s="239">
        <f>SUM(K115:M115)</f>
        <v>0</v>
      </c>
      <c r="Q115" s="206" t="s">
        <v>93</v>
      </c>
    </row>
    <row r="116" spans="1:17" x14ac:dyDescent="0.2">
      <c r="A116" s="99"/>
      <c r="B116" s="99"/>
      <c r="C116" s="235" t="s">
        <v>18</v>
      </c>
      <c r="D116" s="200"/>
      <c r="E116" s="235"/>
      <c r="F116" s="235"/>
      <c r="G116" s="233"/>
      <c r="H116" s="136"/>
      <c r="I116" s="232"/>
      <c r="J116" s="235"/>
      <c r="K116" s="250">
        <f>SUM(K115:K115)</f>
        <v>0</v>
      </c>
      <c r="L116" s="250">
        <f>SUM(L115:L115)</f>
        <v>0</v>
      </c>
      <c r="M116" s="250">
        <f>SUM(M115:M115)</f>
        <v>0</v>
      </c>
      <c r="N116" s="250">
        <f>SUM(N115:N115)</f>
        <v>0</v>
      </c>
      <c r="O116" s="250"/>
      <c r="P116" s="250">
        <f>SUM(P115:P115)</f>
        <v>0</v>
      </c>
      <c r="Q116" s="113"/>
    </row>
    <row r="117" spans="1:17" ht="15.75" customHeight="1" x14ac:dyDescent="0.2">
      <c r="A117" s="99" t="s">
        <v>19</v>
      </c>
      <c r="B117" s="103"/>
      <c r="C117" s="405" t="s">
        <v>37</v>
      </c>
      <c r="D117" s="406"/>
      <c r="E117" s="406"/>
      <c r="F117" s="406"/>
      <c r="G117" s="406"/>
      <c r="H117" s="406"/>
      <c r="I117" s="406"/>
      <c r="J117" s="406"/>
      <c r="K117" s="406"/>
      <c r="L117" s="406"/>
      <c r="M117" s="406"/>
      <c r="N117" s="406"/>
      <c r="O117" s="406"/>
      <c r="P117" s="407"/>
      <c r="Q117" s="193"/>
    </row>
    <row r="118" spans="1:17" x14ac:dyDescent="0.2">
      <c r="A118" s="380" t="s">
        <v>20</v>
      </c>
      <c r="B118" s="185"/>
      <c r="C118" s="402" t="s">
        <v>130</v>
      </c>
      <c r="D118" s="225" t="s">
        <v>56</v>
      </c>
      <c r="E118" s="133" t="s">
        <v>74</v>
      </c>
      <c r="F118" s="133" t="s">
        <v>27</v>
      </c>
      <c r="G118" s="233" t="s">
        <v>77</v>
      </c>
      <c r="H118" s="136">
        <v>3</v>
      </c>
      <c r="I118" s="134" t="s">
        <v>268</v>
      </c>
      <c r="J118" s="133" t="s">
        <v>80</v>
      </c>
      <c r="K118" s="239">
        <f>16000+4000</f>
        <v>20000</v>
      </c>
      <c r="L118" s="239"/>
      <c r="M118" s="239"/>
      <c r="N118" s="239"/>
      <c r="O118" s="239"/>
      <c r="P118" s="239">
        <f>SUM(K118:O118)</f>
        <v>20000</v>
      </c>
      <c r="Q118" s="371" t="s">
        <v>88</v>
      </c>
    </row>
    <row r="119" spans="1:17" x14ac:dyDescent="0.2">
      <c r="A119" s="382"/>
      <c r="B119" s="189"/>
      <c r="C119" s="404"/>
      <c r="D119" s="225" t="s">
        <v>56</v>
      </c>
      <c r="E119" s="133" t="s">
        <v>74</v>
      </c>
      <c r="F119" s="134" t="s">
        <v>27</v>
      </c>
      <c r="G119" s="135" t="s">
        <v>77</v>
      </c>
      <c r="H119" s="136">
        <v>3</v>
      </c>
      <c r="I119" s="134" t="s">
        <v>268</v>
      </c>
      <c r="J119" s="133" t="s">
        <v>28</v>
      </c>
      <c r="K119" s="239">
        <f>15000+3880</f>
        <v>18880</v>
      </c>
      <c r="L119" s="239"/>
      <c r="M119" s="239"/>
      <c r="N119" s="239"/>
      <c r="O119" s="239"/>
      <c r="P119" s="239">
        <f t="shared" ref="P119:P124" si="23">SUM(K119:O119)</f>
        <v>18880</v>
      </c>
      <c r="Q119" s="373"/>
    </row>
    <row r="120" spans="1:17" x14ac:dyDescent="0.2">
      <c r="A120" s="380" t="s">
        <v>96</v>
      </c>
      <c r="B120" s="185"/>
      <c r="C120" s="402" t="s">
        <v>114</v>
      </c>
      <c r="D120" s="225" t="s">
        <v>56</v>
      </c>
      <c r="E120" s="133" t="s">
        <v>74</v>
      </c>
      <c r="F120" s="134" t="s">
        <v>27</v>
      </c>
      <c r="G120" s="135" t="s">
        <v>77</v>
      </c>
      <c r="H120" s="136">
        <v>3</v>
      </c>
      <c r="I120" s="134" t="s">
        <v>269</v>
      </c>
      <c r="J120" s="133" t="s">
        <v>80</v>
      </c>
      <c r="K120" s="239">
        <v>90000</v>
      </c>
      <c r="L120" s="239"/>
      <c r="M120" s="239"/>
      <c r="N120" s="239"/>
      <c r="O120" s="239"/>
      <c r="P120" s="239">
        <f t="shared" si="23"/>
        <v>90000</v>
      </c>
      <c r="Q120" s="371" t="s">
        <v>105</v>
      </c>
    </row>
    <row r="121" spans="1:17" x14ac:dyDescent="0.2">
      <c r="A121" s="382"/>
      <c r="B121" s="189"/>
      <c r="C121" s="404"/>
      <c r="D121" s="225" t="s">
        <v>56</v>
      </c>
      <c r="E121" s="133" t="s">
        <v>74</v>
      </c>
      <c r="F121" s="134" t="s">
        <v>27</v>
      </c>
      <c r="G121" s="135" t="s">
        <v>77</v>
      </c>
      <c r="H121" s="136">
        <v>3</v>
      </c>
      <c r="I121" s="134" t="s">
        <v>269</v>
      </c>
      <c r="J121" s="133" t="s">
        <v>28</v>
      </c>
      <c r="K121" s="239">
        <v>0</v>
      </c>
      <c r="L121" s="239"/>
      <c r="M121" s="239"/>
      <c r="N121" s="239"/>
      <c r="O121" s="239"/>
      <c r="P121" s="239">
        <f t="shared" si="23"/>
        <v>0</v>
      </c>
      <c r="Q121" s="373"/>
    </row>
    <row r="122" spans="1:17" ht="43.5" customHeight="1" x14ac:dyDescent="0.2">
      <c r="A122" s="380" t="s">
        <v>133</v>
      </c>
      <c r="B122" s="380"/>
      <c r="C122" s="402" t="s">
        <v>131</v>
      </c>
      <c r="D122" s="402" t="s">
        <v>56</v>
      </c>
      <c r="E122" s="133" t="s">
        <v>74</v>
      </c>
      <c r="F122" s="134" t="s">
        <v>27</v>
      </c>
      <c r="G122" s="135" t="s">
        <v>77</v>
      </c>
      <c r="H122" s="136">
        <v>3</v>
      </c>
      <c r="I122" s="137" t="s">
        <v>270</v>
      </c>
      <c r="J122" s="133" t="s">
        <v>28</v>
      </c>
      <c r="K122" s="239">
        <v>75500</v>
      </c>
      <c r="L122" s="239"/>
      <c r="M122" s="239"/>
      <c r="N122" s="239"/>
      <c r="O122" s="239"/>
      <c r="P122" s="239">
        <f t="shared" si="23"/>
        <v>75500</v>
      </c>
      <c r="Q122" s="204"/>
    </row>
    <row r="123" spans="1:17" ht="68.25" customHeight="1" x14ac:dyDescent="0.2">
      <c r="A123" s="382"/>
      <c r="B123" s="381"/>
      <c r="C123" s="404"/>
      <c r="D123" s="404"/>
      <c r="E123" s="237" t="s">
        <v>74</v>
      </c>
      <c r="F123" s="137" t="s">
        <v>27</v>
      </c>
      <c r="G123" s="238" t="s">
        <v>77</v>
      </c>
      <c r="H123" s="251">
        <v>3</v>
      </c>
      <c r="I123" s="137" t="s">
        <v>270</v>
      </c>
      <c r="J123" s="137" t="s">
        <v>80</v>
      </c>
      <c r="K123" s="239">
        <v>80000</v>
      </c>
      <c r="L123" s="239"/>
      <c r="M123" s="239"/>
      <c r="N123" s="239"/>
      <c r="O123" s="239"/>
      <c r="P123" s="239">
        <f t="shared" si="23"/>
        <v>80000</v>
      </c>
      <c r="Q123" s="204"/>
    </row>
    <row r="124" spans="1:17" ht="78.75" x14ac:dyDescent="0.2">
      <c r="A124" s="185" t="s">
        <v>132</v>
      </c>
      <c r="B124" s="188"/>
      <c r="C124" s="244" t="s">
        <v>115</v>
      </c>
      <c r="D124" s="249" t="s">
        <v>56</v>
      </c>
      <c r="E124" s="133" t="s">
        <v>74</v>
      </c>
      <c r="F124" s="134" t="s">
        <v>26</v>
      </c>
      <c r="G124" s="135" t="s">
        <v>77</v>
      </c>
      <c r="H124" s="136">
        <v>3</v>
      </c>
      <c r="I124" s="134" t="s">
        <v>271</v>
      </c>
      <c r="J124" s="133" t="s">
        <v>28</v>
      </c>
      <c r="K124" s="239">
        <v>250000</v>
      </c>
      <c r="L124" s="239">
        <f>250000-20000</f>
        <v>230000</v>
      </c>
      <c r="M124" s="239">
        <f>124500+20000</f>
        <v>144500</v>
      </c>
      <c r="N124" s="239">
        <f>124500+20000</f>
        <v>144500</v>
      </c>
      <c r="O124" s="239">
        <f>124500+20000</f>
        <v>144500</v>
      </c>
      <c r="P124" s="239">
        <f t="shared" si="23"/>
        <v>913500</v>
      </c>
      <c r="Q124" s="204"/>
    </row>
    <row r="125" spans="1:17" x14ac:dyDescent="0.2">
      <c r="A125" s="99"/>
      <c r="B125" s="99"/>
      <c r="C125" s="235" t="s">
        <v>21</v>
      </c>
      <c r="D125" s="200"/>
      <c r="E125" s="235"/>
      <c r="F125" s="235"/>
      <c r="G125" s="233"/>
      <c r="H125" s="136"/>
      <c r="I125" s="232"/>
      <c r="J125" s="235"/>
      <c r="K125" s="239">
        <f>SUM(K118:K124)</f>
        <v>534380</v>
      </c>
      <c r="L125" s="239">
        <f t="shared" ref="L125" si="24">SUM(L118:L124)</f>
        <v>230000</v>
      </c>
      <c r="M125" s="239">
        <f>SUM(M118:M124)</f>
        <v>144500</v>
      </c>
      <c r="N125" s="239">
        <f t="shared" ref="N125:O125" si="25">SUM(N118:N124)</f>
        <v>144500</v>
      </c>
      <c r="O125" s="239">
        <f t="shared" si="25"/>
        <v>144500</v>
      </c>
      <c r="P125" s="239">
        <f>SUM(P118:P124)</f>
        <v>1197880</v>
      </c>
      <c r="Q125" s="113"/>
    </row>
    <row r="126" spans="1:17" ht="15.75" customHeight="1" x14ac:dyDescent="0.2">
      <c r="A126" s="99" t="s">
        <v>22</v>
      </c>
      <c r="B126" s="103"/>
      <c r="C126" s="405" t="s">
        <v>38</v>
      </c>
      <c r="D126" s="406"/>
      <c r="E126" s="406"/>
      <c r="F126" s="406"/>
      <c r="G126" s="406"/>
      <c r="H126" s="406"/>
      <c r="I126" s="406"/>
      <c r="J126" s="406"/>
      <c r="K126" s="406"/>
      <c r="L126" s="406"/>
      <c r="M126" s="406"/>
      <c r="N126" s="406"/>
      <c r="O126" s="406"/>
      <c r="P126" s="407"/>
      <c r="Q126" s="113"/>
    </row>
    <row r="127" spans="1:17" x14ac:dyDescent="0.2">
      <c r="A127" s="380" t="s">
        <v>31</v>
      </c>
      <c r="B127" s="185"/>
      <c r="C127" s="402" t="s">
        <v>134</v>
      </c>
      <c r="D127" s="391" t="s">
        <v>56</v>
      </c>
      <c r="E127" s="133" t="s">
        <v>74</v>
      </c>
      <c r="F127" s="133" t="s">
        <v>75</v>
      </c>
      <c r="G127" s="233" t="s">
        <v>77</v>
      </c>
      <c r="H127" s="136">
        <v>3</v>
      </c>
      <c r="I127" s="38" t="s">
        <v>250</v>
      </c>
      <c r="J127" s="133" t="s">
        <v>80</v>
      </c>
      <c r="K127" s="239">
        <v>60000</v>
      </c>
      <c r="L127" s="239"/>
      <c r="M127" s="239"/>
      <c r="N127" s="239"/>
      <c r="O127" s="239"/>
      <c r="P127" s="239">
        <f>SUM(K127:N127)</f>
        <v>60000</v>
      </c>
      <c r="Q127" s="371" t="s">
        <v>103</v>
      </c>
    </row>
    <row r="128" spans="1:17" ht="141.75" customHeight="1" x14ac:dyDescent="0.2">
      <c r="A128" s="381"/>
      <c r="B128" s="188"/>
      <c r="C128" s="403"/>
      <c r="D128" s="392"/>
      <c r="E128" s="133" t="s">
        <v>74</v>
      </c>
      <c r="F128" s="133" t="s">
        <v>27</v>
      </c>
      <c r="G128" s="233" t="s">
        <v>77</v>
      </c>
      <c r="H128" s="136">
        <v>3</v>
      </c>
      <c r="I128" s="38" t="s">
        <v>250</v>
      </c>
      <c r="J128" s="133" t="s">
        <v>80</v>
      </c>
      <c r="K128" s="239">
        <f>90000+60000-50000</f>
        <v>100000</v>
      </c>
      <c r="L128" s="239">
        <f>400000+37559</f>
        <v>437559</v>
      </c>
      <c r="M128" s="239"/>
      <c r="N128" s="239"/>
      <c r="O128" s="239"/>
      <c r="P128" s="239">
        <f>SUM(K128:N128)</f>
        <v>537559</v>
      </c>
      <c r="Q128" s="372"/>
    </row>
    <row r="129" spans="1:17" ht="189" x14ac:dyDescent="0.2">
      <c r="A129" s="99" t="s">
        <v>39</v>
      </c>
      <c r="B129" s="99"/>
      <c r="C129" s="235" t="s">
        <v>61</v>
      </c>
      <c r="D129" s="200" t="s">
        <v>56</v>
      </c>
      <c r="E129" s="133"/>
      <c r="F129" s="133"/>
      <c r="G129" s="233"/>
      <c r="H129" s="136"/>
      <c r="I129" s="134"/>
      <c r="J129" s="133"/>
      <c r="K129" s="239"/>
      <c r="L129" s="239"/>
      <c r="M129" s="239"/>
      <c r="N129" s="239"/>
      <c r="O129" s="239"/>
      <c r="P129" s="239">
        <f t="shared" ref="P129:P139" si="26">SUM(K129:M129)</f>
        <v>0</v>
      </c>
      <c r="Q129" s="212" t="s">
        <v>89</v>
      </c>
    </row>
    <row r="130" spans="1:17" ht="94.5" x14ac:dyDescent="0.2">
      <c r="A130" s="99" t="s">
        <v>40</v>
      </c>
      <c r="B130" s="99"/>
      <c r="C130" s="235" t="s">
        <v>62</v>
      </c>
      <c r="D130" s="200" t="s">
        <v>56</v>
      </c>
      <c r="E130" s="133"/>
      <c r="F130" s="133"/>
      <c r="G130" s="233"/>
      <c r="H130" s="136"/>
      <c r="I130" s="134"/>
      <c r="J130" s="133"/>
      <c r="K130" s="239"/>
      <c r="L130" s="239"/>
      <c r="M130" s="239"/>
      <c r="N130" s="239"/>
      <c r="O130" s="239"/>
      <c r="P130" s="239">
        <f t="shared" si="26"/>
        <v>0</v>
      </c>
      <c r="Q130" s="206"/>
    </row>
    <row r="131" spans="1:17" ht="33.75" customHeight="1" x14ac:dyDescent="0.2">
      <c r="A131" s="380" t="s">
        <v>41</v>
      </c>
      <c r="B131" s="380"/>
      <c r="C131" s="408" t="s">
        <v>135</v>
      </c>
      <c r="D131" s="200" t="s">
        <v>56</v>
      </c>
      <c r="E131" s="133" t="s">
        <v>74</v>
      </c>
      <c r="F131" s="133" t="s">
        <v>27</v>
      </c>
      <c r="G131" s="233" t="s">
        <v>77</v>
      </c>
      <c r="H131" s="136">
        <v>3</v>
      </c>
      <c r="I131" s="38" t="s">
        <v>251</v>
      </c>
      <c r="J131" s="133" t="s">
        <v>28</v>
      </c>
      <c r="K131" s="252">
        <f>200000+20000+58031.49</f>
        <v>278031.49</v>
      </c>
      <c r="L131" s="253"/>
      <c r="M131" s="239">
        <v>0</v>
      </c>
      <c r="N131" s="239">
        <v>0</v>
      </c>
      <c r="O131" s="239"/>
      <c r="P131" s="252">
        <f t="shared" ref="P131:P138" si="27">SUM(K131:N131)</f>
        <v>278031.49</v>
      </c>
      <c r="Q131" s="206" t="s">
        <v>136</v>
      </c>
    </row>
    <row r="132" spans="1:17" ht="33.75" customHeight="1" x14ac:dyDescent="0.2">
      <c r="A132" s="381"/>
      <c r="B132" s="381"/>
      <c r="C132" s="409"/>
      <c r="D132" s="200" t="s">
        <v>56</v>
      </c>
      <c r="E132" s="133" t="s">
        <v>74</v>
      </c>
      <c r="F132" s="133" t="s">
        <v>75</v>
      </c>
      <c r="G132" s="233" t="s">
        <v>77</v>
      </c>
      <c r="H132" s="136">
        <v>3</v>
      </c>
      <c r="I132" s="38" t="s">
        <v>251</v>
      </c>
      <c r="J132" s="133" t="s">
        <v>80</v>
      </c>
      <c r="K132" s="252"/>
      <c r="L132" s="239">
        <v>300000</v>
      </c>
      <c r="M132" s="239">
        <v>0</v>
      </c>
      <c r="N132" s="239">
        <v>0</v>
      </c>
      <c r="O132" s="239"/>
      <c r="P132" s="252">
        <f t="shared" si="27"/>
        <v>300000</v>
      </c>
      <c r="Q132" s="213" t="s">
        <v>106</v>
      </c>
    </row>
    <row r="133" spans="1:17" ht="34.5" customHeight="1" x14ac:dyDescent="0.2">
      <c r="A133" s="381"/>
      <c r="B133" s="381"/>
      <c r="C133" s="409"/>
      <c r="D133" s="200" t="s">
        <v>56</v>
      </c>
      <c r="E133" s="133" t="s">
        <v>74</v>
      </c>
      <c r="F133" s="133" t="s">
        <v>27</v>
      </c>
      <c r="G133" s="233" t="s">
        <v>77</v>
      </c>
      <c r="H133" s="136">
        <v>3</v>
      </c>
      <c r="I133" s="38" t="s">
        <v>251</v>
      </c>
      <c r="J133" s="133" t="s">
        <v>80</v>
      </c>
      <c r="K133" s="252">
        <f>700000+300000+163915.45+50000</f>
        <v>1213915.45</v>
      </c>
      <c r="L133" s="254">
        <f>329682.99+1000000+133252.22</f>
        <v>1462935.21</v>
      </c>
      <c r="M133" s="239"/>
      <c r="N133" s="239"/>
      <c r="O133" s="239"/>
      <c r="P133" s="252">
        <f t="shared" si="27"/>
        <v>2676850.66</v>
      </c>
      <c r="Q133" s="213" t="s">
        <v>106</v>
      </c>
    </row>
    <row r="134" spans="1:17" s="172" customFormat="1" ht="34.5" customHeight="1" x14ac:dyDescent="0.2">
      <c r="A134" s="381"/>
      <c r="B134" s="381"/>
      <c r="C134" s="409"/>
      <c r="D134" s="200" t="s">
        <v>56</v>
      </c>
      <c r="E134" s="133" t="s">
        <v>74</v>
      </c>
      <c r="F134" s="133" t="s">
        <v>27</v>
      </c>
      <c r="G134" s="233" t="s">
        <v>77</v>
      </c>
      <c r="H134" s="136">
        <v>3</v>
      </c>
      <c r="I134" s="38" t="s">
        <v>251</v>
      </c>
      <c r="J134" s="133" t="s">
        <v>176</v>
      </c>
      <c r="K134" s="252"/>
      <c r="L134" s="254">
        <v>57251.54</v>
      </c>
      <c r="M134" s="239"/>
      <c r="N134" s="239"/>
      <c r="O134" s="239"/>
      <c r="P134" s="252">
        <f>L134</f>
        <v>57251.54</v>
      </c>
      <c r="Q134" s="213" t="s">
        <v>106</v>
      </c>
    </row>
    <row r="135" spans="1:17" s="172" customFormat="1" ht="34.5" customHeight="1" x14ac:dyDescent="0.2">
      <c r="A135" s="381"/>
      <c r="B135" s="381"/>
      <c r="C135" s="410"/>
      <c r="D135" s="200" t="s">
        <v>56</v>
      </c>
      <c r="E135" s="133" t="s">
        <v>74</v>
      </c>
      <c r="F135" s="133" t="s">
        <v>27</v>
      </c>
      <c r="G135" s="233" t="s">
        <v>77</v>
      </c>
      <c r="H135" s="136">
        <v>3</v>
      </c>
      <c r="I135" s="38" t="s">
        <v>251</v>
      </c>
      <c r="J135" s="133" t="s">
        <v>28</v>
      </c>
      <c r="K135" s="252"/>
      <c r="L135" s="254">
        <v>46000</v>
      </c>
      <c r="M135" s="239"/>
      <c r="N135" s="239"/>
      <c r="O135" s="239"/>
      <c r="P135" s="252">
        <f>L135</f>
        <v>46000</v>
      </c>
      <c r="Q135" s="213" t="s">
        <v>106</v>
      </c>
    </row>
    <row r="136" spans="1:17" ht="157.5" x14ac:dyDescent="0.2">
      <c r="A136" s="99" t="s">
        <v>64</v>
      </c>
      <c r="B136" s="99"/>
      <c r="C136" s="235" t="s">
        <v>134</v>
      </c>
      <c r="D136" s="200" t="s">
        <v>56</v>
      </c>
      <c r="E136" s="133" t="s">
        <v>74</v>
      </c>
      <c r="F136" s="133" t="s">
        <v>27</v>
      </c>
      <c r="G136" s="233" t="s">
        <v>77</v>
      </c>
      <c r="H136" s="136">
        <v>3</v>
      </c>
      <c r="I136" s="38" t="s">
        <v>250</v>
      </c>
      <c r="J136" s="133" t="s">
        <v>28</v>
      </c>
      <c r="K136" s="239">
        <v>150000</v>
      </c>
      <c r="L136" s="239"/>
      <c r="M136" s="239"/>
      <c r="N136" s="239"/>
      <c r="O136" s="239"/>
      <c r="P136" s="255">
        <f t="shared" si="27"/>
        <v>150000</v>
      </c>
      <c r="Q136" s="212" t="s">
        <v>108</v>
      </c>
    </row>
    <row r="137" spans="1:17" ht="68.25" customHeight="1" x14ac:dyDescent="0.2">
      <c r="A137" s="99" t="s">
        <v>42</v>
      </c>
      <c r="B137" s="99"/>
      <c r="C137" s="235" t="s">
        <v>116</v>
      </c>
      <c r="D137" s="200" t="s">
        <v>56</v>
      </c>
      <c r="E137" s="133" t="s">
        <v>74</v>
      </c>
      <c r="F137" s="133" t="s">
        <v>27</v>
      </c>
      <c r="G137" s="233" t="s">
        <v>77</v>
      </c>
      <c r="H137" s="136">
        <v>3</v>
      </c>
      <c r="I137" s="134" t="s">
        <v>272</v>
      </c>
      <c r="J137" s="133" t="s">
        <v>80</v>
      </c>
      <c r="K137" s="239">
        <v>90000</v>
      </c>
      <c r="L137" s="239"/>
      <c r="M137" s="239"/>
      <c r="N137" s="239"/>
      <c r="O137" s="239"/>
      <c r="P137" s="255">
        <f t="shared" si="27"/>
        <v>90000</v>
      </c>
      <c r="Q137" s="206" t="s">
        <v>107</v>
      </c>
    </row>
    <row r="138" spans="1:17" ht="173.25" x14ac:dyDescent="0.2">
      <c r="A138" s="99" t="s">
        <v>69</v>
      </c>
      <c r="B138" s="99"/>
      <c r="C138" s="235" t="s">
        <v>65</v>
      </c>
      <c r="D138" s="200" t="s">
        <v>56</v>
      </c>
      <c r="E138" s="133" t="s">
        <v>74</v>
      </c>
      <c r="F138" s="133" t="s">
        <v>27</v>
      </c>
      <c r="G138" s="233" t="s">
        <v>77</v>
      </c>
      <c r="H138" s="136">
        <v>3</v>
      </c>
      <c r="I138" s="134" t="s">
        <v>273</v>
      </c>
      <c r="J138" s="133" t="s">
        <v>80</v>
      </c>
      <c r="K138" s="239">
        <f>100000</f>
        <v>100000</v>
      </c>
      <c r="L138" s="239"/>
      <c r="M138" s="239"/>
      <c r="N138" s="239"/>
      <c r="O138" s="239"/>
      <c r="P138" s="255">
        <f t="shared" si="27"/>
        <v>100000</v>
      </c>
      <c r="Q138" s="206" t="s">
        <v>90</v>
      </c>
    </row>
    <row r="139" spans="1:17" ht="173.25" x14ac:dyDescent="0.2">
      <c r="A139" s="99" t="s">
        <v>70</v>
      </c>
      <c r="B139" s="185"/>
      <c r="C139" s="249" t="s">
        <v>63</v>
      </c>
      <c r="D139" s="200"/>
      <c r="E139" s="133"/>
      <c r="F139" s="133"/>
      <c r="G139" s="233"/>
      <c r="H139" s="136"/>
      <c r="I139" s="134"/>
      <c r="J139" s="133"/>
      <c r="K139" s="239"/>
      <c r="L139" s="239"/>
      <c r="M139" s="239"/>
      <c r="N139" s="239"/>
      <c r="O139" s="239"/>
      <c r="P139" s="255">
        <f t="shared" si="26"/>
        <v>0</v>
      </c>
      <c r="Q139" s="206" t="s">
        <v>94</v>
      </c>
    </row>
    <row r="140" spans="1:17" ht="204.75" customHeight="1" x14ac:dyDescent="0.2">
      <c r="A140" s="99" t="s">
        <v>148</v>
      </c>
      <c r="B140" s="99"/>
      <c r="C140" s="235" t="s">
        <v>149</v>
      </c>
      <c r="D140" s="200" t="s">
        <v>56</v>
      </c>
      <c r="E140" s="133" t="s">
        <v>74</v>
      </c>
      <c r="F140" s="133" t="s">
        <v>27</v>
      </c>
      <c r="G140" s="233" t="s">
        <v>77</v>
      </c>
      <c r="H140" s="136">
        <v>3</v>
      </c>
      <c r="I140" s="134" t="s">
        <v>274</v>
      </c>
      <c r="J140" s="133" t="s">
        <v>28</v>
      </c>
      <c r="K140" s="239">
        <f>400000</f>
        <v>400000</v>
      </c>
      <c r="L140" s="239"/>
      <c r="M140" s="239"/>
      <c r="N140" s="239"/>
      <c r="O140" s="239"/>
      <c r="P140" s="255">
        <f>SUM(K140:N140)</f>
        <v>400000</v>
      </c>
      <c r="Q140" s="206"/>
    </row>
    <row r="141" spans="1:17" s="278" customFormat="1" ht="204.75" customHeight="1" x14ac:dyDescent="0.2">
      <c r="A141" s="99" t="s">
        <v>232</v>
      </c>
      <c r="B141" s="99"/>
      <c r="C141" s="281" t="s">
        <v>235</v>
      </c>
      <c r="D141" s="3" t="s">
        <v>56</v>
      </c>
      <c r="E141" s="279" t="s">
        <v>74</v>
      </c>
      <c r="F141" s="279" t="s">
        <v>27</v>
      </c>
      <c r="G141" s="28" t="s">
        <v>77</v>
      </c>
      <c r="H141" s="280">
        <v>3</v>
      </c>
      <c r="I141" s="29" t="s">
        <v>275</v>
      </c>
      <c r="J141" s="279" t="s">
        <v>28</v>
      </c>
      <c r="K141" s="239"/>
      <c r="L141" s="220">
        <f>235833.42+155637.83</f>
        <v>391471.25</v>
      </c>
      <c r="M141" s="239"/>
      <c r="N141" s="239"/>
      <c r="O141" s="239"/>
      <c r="P141" s="255">
        <f>SUM(K141:N141)</f>
        <v>391471.25</v>
      </c>
      <c r="Q141" s="206"/>
    </row>
    <row r="142" spans="1:17" s="278" customFormat="1" ht="204.75" customHeight="1" x14ac:dyDescent="0.2">
      <c r="A142" s="99" t="s">
        <v>234</v>
      </c>
      <c r="B142" s="99"/>
      <c r="C142" s="281" t="s">
        <v>235</v>
      </c>
      <c r="D142" s="3" t="s">
        <v>56</v>
      </c>
      <c r="E142" s="279" t="s">
        <v>74</v>
      </c>
      <c r="F142" s="279" t="s">
        <v>27</v>
      </c>
      <c r="G142" s="28" t="s">
        <v>77</v>
      </c>
      <c r="H142" s="280">
        <v>3</v>
      </c>
      <c r="I142" s="29" t="s">
        <v>275</v>
      </c>
      <c r="J142" s="279" t="s">
        <v>176</v>
      </c>
      <c r="K142" s="239"/>
      <c r="L142" s="11">
        <v>62503.7</v>
      </c>
      <c r="M142" s="239"/>
      <c r="N142" s="239"/>
      <c r="O142" s="239"/>
      <c r="P142" s="255">
        <f t="shared" ref="P142:P143" si="28">SUM(K142:N142)</f>
        <v>62503.7</v>
      </c>
      <c r="Q142" s="206"/>
    </row>
    <row r="143" spans="1:17" s="278" customFormat="1" ht="204.75" customHeight="1" x14ac:dyDescent="0.2">
      <c r="A143" s="99" t="s">
        <v>233</v>
      </c>
      <c r="B143" s="99"/>
      <c r="C143" s="281" t="s">
        <v>235</v>
      </c>
      <c r="D143" s="3" t="s">
        <v>56</v>
      </c>
      <c r="E143" s="279" t="s">
        <v>74</v>
      </c>
      <c r="F143" s="279" t="s">
        <v>27</v>
      </c>
      <c r="G143" s="28" t="s">
        <v>77</v>
      </c>
      <c r="H143" s="280">
        <v>3</v>
      </c>
      <c r="I143" s="29" t="s">
        <v>275</v>
      </c>
      <c r="J143" s="279" t="s">
        <v>80</v>
      </c>
      <c r="K143" s="239"/>
      <c r="L143" s="220">
        <f>43597.2+115370.63</f>
        <v>158967.83000000002</v>
      </c>
      <c r="M143" s="239"/>
      <c r="N143" s="239"/>
      <c r="O143" s="239"/>
      <c r="P143" s="255">
        <f t="shared" si="28"/>
        <v>158967.83000000002</v>
      </c>
      <c r="Q143" s="206"/>
    </row>
    <row r="144" spans="1:17" x14ac:dyDescent="0.2">
      <c r="A144" s="99"/>
      <c r="B144" s="99"/>
      <c r="C144" s="235" t="s">
        <v>23</v>
      </c>
      <c r="D144" s="200"/>
      <c r="E144" s="235"/>
      <c r="F144" s="235"/>
      <c r="G144" s="233"/>
      <c r="H144" s="136"/>
      <c r="I144" s="232"/>
      <c r="J144" s="235"/>
      <c r="K144" s="255">
        <f>SUM(K127:K140)</f>
        <v>2391946.94</v>
      </c>
      <c r="L144" s="255">
        <f>SUM(L127:L143)</f>
        <v>2916688.5300000003</v>
      </c>
      <c r="M144" s="255">
        <f>SUM(M127:M139)</f>
        <v>0</v>
      </c>
      <c r="N144" s="255">
        <f>SUM(N127:N139)</f>
        <v>0</v>
      </c>
      <c r="O144" s="255"/>
      <c r="P144" s="255">
        <f>SUM(P127:P143)</f>
        <v>5308635.4700000007</v>
      </c>
      <c r="Q144" s="113"/>
    </row>
    <row r="145" spans="1:18" ht="15.75" customHeight="1" x14ac:dyDescent="0.2">
      <c r="A145" s="186" t="s">
        <v>67</v>
      </c>
      <c r="B145" s="214"/>
      <c r="C145" s="405" t="s">
        <v>227</v>
      </c>
      <c r="D145" s="406"/>
      <c r="E145" s="406"/>
      <c r="F145" s="406"/>
      <c r="G145" s="406"/>
      <c r="H145" s="406"/>
      <c r="I145" s="406"/>
      <c r="J145" s="406"/>
      <c r="K145" s="406"/>
      <c r="L145" s="406"/>
      <c r="M145" s="406"/>
      <c r="N145" s="406"/>
      <c r="O145" s="406"/>
      <c r="P145" s="407"/>
      <c r="Q145" s="187"/>
    </row>
    <row r="146" spans="1:18" x14ac:dyDescent="0.2">
      <c r="A146" s="215" t="s">
        <v>43</v>
      </c>
      <c r="B146" s="215"/>
      <c r="C146" s="402" t="s">
        <v>66</v>
      </c>
      <c r="D146" s="225" t="s">
        <v>56</v>
      </c>
      <c r="E146" s="133" t="s">
        <v>74</v>
      </c>
      <c r="F146" s="133" t="s">
        <v>26</v>
      </c>
      <c r="G146" s="233" t="s">
        <v>77</v>
      </c>
      <c r="H146" s="136">
        <v>3</v>
      </c>
      <c r="I146" s="38" t="s">
        <v>249</v>
      </c>
      <c r="J146" s="133" t="s">
        <v>45</v>
      </c>
      <c r="K146" s="256">
        <v>630921.29</v>
      </c>
      <c r="L146" s="256">
        <v>851638.78</v>
      </c>
      <c r="M146" s="256">
        <v>851127.22</v>
      </c>
      <c r="N146" s="256">
        <v>851127.22</v>
      </c>
      <c r="O146" s="256">
        <v>851127.22</v>
      </c>
      <c r="P146" s="256">
        <f>SUM(K146:O146)</f>
        <v>4035941.7299999995</v>
      </c>
      <c r="Q146" s="371"/>
    </row>
    <row r="147" spans="1:18" s="307" customFormat="1" x14ac:dyDescent="0.2">
      <c r="A147" s="217"/>
      <c r="B147" s="217"/>
      <c r="C147" s="403"/>
      <c r="D147" s="308" t="s">
        <v>56</v>
      </c>
      <c r="E147" s="305" t="s">
        <v>74</v>
      </c>
      <c r="F147" s="305" t="s">
        <v>26</v>
      </c>
      <c r="G147" s="28" t="s">
        <v>77</v>
      </c>
      <c r="H147" s="306">
        <v>3</v>
      </c>
      <c r="I147" s="297" t="s">
        <v>280</v>
      </c>
      <c r="J147" s="305" t="s">
        <v>45</v>
      </c>
      <c r="K147" s="179">
        <v>192955</v>
      </c>
      <c r="L147" s="71">
        <v>279508.87</v>
      </c>
      <c r="M147" s="71">
        <v>258552.31</v>
      </c>
      <c r="N147" s="71">
        <v>258552.31</v>
      </c>
      <c r="O147" s="71">
        <v>258552.31</v>
      </c>
      <c r="P147" s="71">
        <f>SUM(K147:O147)</f>
        <v>1248120.8</v>
      </c>
      <c r="Q147" s="372"/>
    </row>
    <row r="148" spans="1:18" s="292" customFormat="1" x14ac:dyDescent="0.2">
      <c r="A148" s="217"/>
      <c r="B148" s="217"/>
      <c r="C148" s="403"/>
      <c r="D148" s="293" t="s">
        <v>56</v>
      </c>
      <c r="E148" s="133" t="s">
        <v>74</v>
      </c>
      <c r="F148" s="134" t="s">
        <v>26</v>
      </c>
      <c r="G148" s="135" t="s">
        <v>77</v>
      </c>
      <c r="H148" s="136">
        <v>3</v>
      </c>
      <c r="I148" s="38" t="s">
        <v>249</v>
      </c>
      <c r="J148" s="133" t="s">
        <v>276</v>
      </c>
      <c r="K148" s="256">
        <v>190538.23</v>
      </c>
      <c r="L148" s="256">
        <v>257164.71</v>
      </c>
      <c r="M148" s="256">
        <v>257040.42</v>
      </c>
      <c r="N148" s="256">
        <v>257040.42</v>
      </c>
      <c r="O148" s="256">
        <v>257040.42</v>
      </c>
      <c r="P148" s="256">
        <f>SUM(K148:O148)</f>
        <v>1218824.2</v>
      </c>
      <c r="Q148" s="372"/>
    </row>
    <row r="149" spans="1:18" s="307" customFormat="1" x14ac:dyDescent="0.2">
      <c r="A149" s="217"/>
      <c r="B149" s="217"/>
      <c r="C149" s="403"/>
      <c r="D149" s="308" t="s">
        <v>56</v>
      </c>
      <c r="E149" s="305" t="s">
        <v>74</v>
      </c>
      <c r="F149" s="29" t="s">
        <v>26</v>
      </c>
      <c r="G149" s="61" t="s">
        <v>77</v>
      </c>
      <c r="H149" s="306">
        <v>3</v>
      </c>
      <c r="I149" s="297" t="s">
        <v>280</v>
      </c>
      <c r="J149" s="305" t="s">
        <v>276</v>
      </c>
      <c r="K149" s="179">
        <v>58272.41</v>
      </c>
      <c r="L149" s="71">
        <v>84411.69</v>
      </c>
      <c r="M149" s="71">
        <v>78082.8</v>
      </c>
      <c r="N149" s="71">
        <v>78082.8</v>
      </c>
      <c r="O149" s="71">
        <v>78082.8</v>
      </c>
      <c r="P149" s="71">
        <f>SUM(K149:O149)</f>
        <v>376932.5</v>
      </c>
      <c r="Q149" s="372"/>
    </row>
    <row r="150" spans="1:18" ht="24" customHeight="1" x14ac:dyDescent="0.2">
      <c r="A150" s="217"/>
      <c r="B150" s="217"/>
      <c r="C150" s="403"/>
      <c r="D150" s="225" t="s">
        <v>56</v>
      </c>
      <c r="E150" s="133" t="s">
        <v>74</v>
      </c>
      <c r="F150" s="134" t="s">
        <v>26</v>
      </c>
      <c r="G150" s="135" t="s">
        <v>77</v>
      </c>
      <c r="H150" s="136">
        <v>3</v>
      </c>
      <c r="I150" s="38" t="s">
        <v>249</v>
      </c>
      <c r="J150" s="133" t="s">
        <v>124</v>
      </c>
      <c r="K150" s="256">
        <f>7200-3200</f>
        <v>4000</v>
      </c>
      <c r="L150" s="256">
        <v>2484.59</v>
      </c>
      <c r="M150" s="256">
        <f>780+23583+574.6</f>
        <v>24937.599999999999</v>
      </c>
      <c r="N150" s="256">
        <v>780</v>
      </c>
      <c r="O150" s="256">
        <v>780</v>
      </c>
      <c r="P150" s="256">
        <f t="shared" ref="P150:P154" si="29">SUM(K150:O150)</f>
        <v>32982.19</v>
      </c>
      <c r="Q150" s="372"/>
      <c r="R150" s="22" t="s">
        <v>190</v>
      </c>
    </row>
    <row r="151" spans="1:18" x14ac:dyDescent="0.2">
      <c r="A151" s="217"/>
      <c r="B151" s="217"/>
      <c r="C151" s="403"/>
      <c r="D151" s="225" t="s">
        <v>56</v>
      </c>
      <c r="E151" s="133" t="s">
        <v>74</v>
      </c>
      <c r="F151" s="134" t="s">
        <v>26</v>
      </c>
      <c r="G151" s="135" t="s">
        <v>77</v>
      </c>
      <c r="H151" s="136">
        <v>3</v>
      </c>
      <c r="I151" s="38" t="s">
        <v>249</v>
      </c>
      <c r="J151" s="134" t="s">
        <v>28</v>
      </c>
      <c r="K151" s="256">
        <f>290346.4+3200-58031.49</f>
        <v>235514.91000000003</v>
      </c>
      <c r="L151" s="256">
        <f>354416.44</f>
        <v>354416.44</v>
      </c>
      <c r="M151" s="256">
        <f>347279.03-23583-574.6-20000</f>
        <v>303121.43000000005</v>
      </c>
      <c r="N151" s="256">
        <f t="shared" ref="N151:O151" si="30">347279.03</f>
        <v>347279.03</v>
      </c>
      <c r="O151" s="256">
        <f t="shared" si="30"/>
        <v>347279.03</v>
      </c>
      <c r="P151" s="256">
        <f t="shared" si="29"/>
        <v>1587610.84</v>
      </c>
      <c r="Q151" s="373"/>
    </row>
    <row r="152" spans="1:18" x14ac:dyDescent="0.2">
      <c r="A152" s="217"/>
      <c r="B152" s="217"/>
      <c r="C152" s="403"/>
      <c r="D152" s="225" t="s">
        <v>56</v>
      </c>
      <c r="E152" s="133" t="s">
        <v>74</v>
      </c>
      <c r="F152" s="134" t="s">
        <v>26</v>
      </c>
      <c r="G152" s="135" t="s">
        <v>77</v>
      </c>
      <c r="H152" s="136">
        <v>3</v>
      </c>
      <c r="I152" s="38" t="s">
        <v>249</v>
      </c>
      <c r="J152" s="134" t="s">
        <v>125</v>
      </c>
      <c r="K152" s="256">
        <v>4500</v>
      </c>
      <c r="L152" s="256">
        <f>878.56+1000</f>
        <v>1878.56</v>
      </c>
      <c r="M152" s="256">
        <v>1000</v>
      </c>
      <c r="N152" s="256">
        <v>1000</v>
      </c>
      <c r="O152" s="256">
        <v>1000</v>
      </c>
      <c r="P152" s="256">
        <f t="shared" si="29"/>
        <v>9378.56</v>
      </c>
      <c r="Q152" s="205"/>
    </row>
    <row r="153" spans="1:18" x14ac:dyDescent="0.2">
      <c r="A153" s="218"/>
      <c r="B153" s="218"/>
      <c r="C153" s="404"/>
      <c r="D153" s="225" t="s">
        <v>56</v>
      </c>
      <c r="E153" s="133" t="s">
        <v>74</v>
      </c>
      <c r="F153" s="134" t="s">
        <v>26</v>
      </c>
      <c r="G153" s="135" t="s">
        <v>77</v>
      </c>
      <c r="H153" s="136">
        <v>3</v>
      </c>
      <c r="I153" s="134" t="s">
        <v>275</v>
      </c>
      <c r="J153" s="133" t="s">
        <v>124</v>
      </c>
      <c r="K153" s="256"/>
      <c r="L153" s="256">
        <v>10416</v>
      </c>
      <c r="M153" s="256">
        <v>0</v>
      </c>
      <c r="N153" s="256">
        <v>0</v>
      </c>
      <c r="O153" s="256">
        <v>0</v>
      </c>
      <c r="P153" s="256">
        <f t="shared" si="29"/>
        <v>10416</v>
      </c>
      <c r="Q153" s="205"/>
    </row>
    <row r="154" spans="1:18" ht="15.75" customHeight="1" x14ac:dyDescent="0.2">
      <c r="A154" s="99"/>
      <c r="B154" s="99"/>
      <c r="C154" s="193" t="s">
        <v>44</v>
      </c>
      <c r="D154" s="113"/>
      <c r="E154" s="193"/>
      <c r="F154" s="193"/>
      <c r="G154" s="103"/>
      <c r="H154" s="104"/>
      <c r="I154" s="201"/>
      <c r="J154" s="193"/>
      <c r="K154" s="216">
        <f>SUM(K146:K153)</f>
        <v>1316701.8399999999</v>
      </c>
      <c r="L154" s="216">
        <f>SUM(L146:L153)</f>
        <v>1841919.64</v>
      </c>
      <c r="M154" s="216">
        <f>SUM(M146:M153)</f>
        <v>1773861.7800000003</v>
      </c>
      <c r="N154" s="216">
        <f>SUM(N146:N153)</f>
        <v>1793861.78</v>
      </c>
      <c r="O154" s="216">
        <f>SUM(O146:O153)</f>
        <v>1793861.78</v>
      </c>
      <c r="P154" s="256">
        <f t="shared" si="29"/>
        <v>8520206.8200000003</v>
      </c>
      <c r="Q154" s="113"/>
    </row>
  </sheetData>
  <mergeCells count="79">
    <mergeCell ref="C23:C24"/>
    <mergeCell ref="Q53:Q55"/>
    <mergeCell ref="C39:P39"/>
    <mergeCell ref="C68:P68"/>
    <mergeCell ref="A40:A42"/>
    <mergeCell ref="Q40:Q42"/>
    <mergeCell ref="C51:P51"/>
    <mergeCell ref="A52:A57"/>
    <mergeCell ref="A118:A119"/>
    <mergeCell ref="C118:C119"/>
    <mergeCell ref="Q118:Q119"/>
    <mergeCell ref="C72:C75"/>
    <mergeCell ref="B76:B78"/>
    <mergeCell ref="C76:C78"/>
    <mergeCell ref="A100:A104"/>
    <mergeCell ref="A93:A98"/>
    <mergeCell ref="B93:B98"/>
    <mergeCell ref="A72:A75"/>
    <mergeCell ref="A76:A78"/>
    <mergeCell ref="A90:A91"/>
    <mergeCell ref="A120:A121"/>
    <mergeCell ref="C120:C121"/>
    <mergeCell ref="B7:B11"/>
    <mergeCell ref="C114:P114"/>
    <mergeCell ref="C117:P117"/>
    <mergeCell ref="C17:P17"/>
    <mergeCell ref="A18:A25"/>
    <mergeCell ref="C18:C22"/>
    <mergeCell ref="A7:A11"/>
    <mergeCell ref="C7:C11"/>
    <mergeCell ref="A12:A16"/>
    <mergeCell ref="B12:B16"/>
    <mergeCell ref="A81:A89"/>
    <mergeCell ref="A69:A71"/>
    <mergeCell ref="C69:C71"/>
    <mergeCell ref="C80:P80"/>
    <mergeCell ref="Q120:Q121"/>
    <mergeCell ref="Q100:Q103"/>
    <mergeCell ref="Q81:Q89"/>
    <mergeCell ref="C99:P99"/>
    <mergeCell ref="C90:C91"/>
    <mergeCell ref="C93:C98"/>
    <mergeCell ref="C81:C89"/>
    <mergeCell ref="C146:C153"/>
    <mergeCell ref="Q146:Q151"/>
    <mergeCell ref="A122:A123"/>
    <mergeCell ref="B122:B123"/>
    <mergeCell ref="C122:C123"/>
    <mergeCell ref="D122:D123"/>
    <mergeCell ref="Q127:Q128"/>
    <mergeCell ref="C126:P126"/>
    <mergeCell ref="A127:A128"/>
    <mergeCell ref="C127:C128"/>
    <mergeCell ref="D127:D128"/>
    <mergeCell ref="B131:B135"/>
    <mergeCell ref="C131:C135"/>
    <mergeCell ref="A131:A135"/>
    <mergeCell ref="C145:P145"/>
    <mergeCell ref="Q69:Q71"/>
    <mergeCell ref="C65:C66"/>
    <mergeCell ref="F2:H2"/>
    <mergeCell ref="A3:P3"/>
    <mergeCell ref="K5:P5"/>
    <mergeCell ref="N2:Q2"/>
    <mergeCell ref="A58:A62"/>
    <mergeCell ref="Q58:Q60"/>
    <mergeCell ref="A46:A49"/>
    <mergeCell ref="B46:B50"/>
    <mergeCell ref="C46:C49"/>
    <mergeCell ref="C12:C16"/>
    <mergeCell ref="Q5:Q6"/>
    <mergeCell ref="A5:A6"/>
    <mergeCell ref="C5:C6"/>
    <mergeCell ref="Q18:Q25"/>
    <mergeCell ref="D5:D6"/>
    <mergeCell ref="E5:J5"/>
    <mergeCell ref="B5:B6"/>
    <mergeCell ref="G6:I6"/>
    <mergeCell ref="N1:Q1"/>
  </mergeCells>
  <pageMargins left="0" right="3.937007874015748E-2" top="0.31496062992125984" bottom="0.31496062992125984" header="0.59055118110236227" footer="0.59055118110236227"/>
  <pageSetup paperSize="9" scale="55" fitToWidth="2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V31"/>
  <sheetViews>
    <sheetView tabSelected="1" view="pageBreakPreview" zoomScale="70" zoomScaleNormal="85" zoomScaleSheetLayoutView="70" workbookViewId="0">
      <selection activeCell="L2" sqref="L2:O2"/>
    </sheetView>
  </sheetViews>
  <sheetFormatPr defaultColWidth="9.140625" defaultRowHeight="15.75" outlineLevelCol="1" x14ac:dyDescent="0.25"/>
  <cols>
    <col min="1" max="1" width="18.42578125" style="13" customWidth="1"/>
    <col min="2" max="2" width="23.140625" style="13" customWidth="1"/>
    <col min="3" max="3" width="22.28515625" style="13" customWidth="1"/>
    <col min="4" max="4" width="0.140625" style="13" hidden="1" customWidth="1"/>
    <col min="5" max="5" width="7.140625" style="13" hidden="1" customWidth="1"/>
    <col min="6" max="6" width="3.28515625" style="13" hidden="1" customWidth="1"/>
    <col min="7" max="7" width="3" style="13" hidden="1" customWidth="1"/>
    <col min="8" max="8" width="5.85546875" style="13" hidden="1" customWidth="1"/>
    <col min="9" max="9" width="7.5703125" style="13" hidden="1" customWidth="1"/>
    <col min="10" max="10" width="18.28515625" style="13" bestFit="1" customWidth="1"/>
    <col min="11" max="11" width="18.140625" style="13" customWidth="1"/>
    <col min="12" max="13" width="18.42578125" style="13" customWidth="1"/>
    <col min="14" max="14" width="18.42578125" style="285" customWidth="1"/>
    <col min="15" max="15" width="19.28515625" style="13" customWidth="1"/>
    <col min="16" max="16" width="8.85546875" style="13" customWidth="1"/>
    <col min="17" max="17" width="16.28515625" style="13" hidden="1" customWidth="1" outlineLevel="1"/>
    <col min="18" max="19" width="16.140625" style="13" hidden="1" customWidth="1" outlineLevel="1"/>
    <col min="20" max="20" width="0" style="13" hidden="1" customWidth="1" outlineLevel="1"/>
    <col min="21" max="21" width="9.140625" style="13" collapsed="1"/>
    <col min="22" max="22" width="13.85546875" style="13" bestFit="1" customWidth="1"/>
    <col min="23" max="16384" width="9.140625" style="13"/>
  </cols>
  <sheetData>
    <row r="1" spans="1:22" ht="58.5" customHeight="1" x14ac:dyDescent="0.25">
      <c r="L1" s="423" t="s">
        <v>293</v>
      </c>
      <c r="M1" s="423"/>
      <c r="N1" s="423"/>
      <c r="O1" s="423"/>
    </row>
    <row r="2" spans="1:22" ht="82.5" customHeight="1" x14ac:dyDescent="0.3">
      <c r="L2" s="439" t="s">
        <v>170</v>
      </c>
      <c r="M2" s="439"/>
      <c r="N2" s="439"/>
      <c r="O2" s="439"/>
    </row>
    <row r="3" spans="1:22" ht="51" customHeight="1" x14ac:dyDescent="0.25">
      <c r="A3" s="442" t="s">
        <v>204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</row>
    <row r="4" spans="1:22" x14ac:dyDescent="0.25">
      <c r="F4" s="8">
        <v>8</v>
      </c>
      <c r="Q4" s="13">
        <f>3273967.4+28000</f>
        <v>3301967.4</v>
      </c>
      <c r="R4" s="13">
        <v>3307058.1</v>
      </c>
      <c r="S4" s="13">
        <v>2895283.8</v>
      </c>
    </row>
    <row r="5" spans="1:22" ht="34.5" customHeight="1" x14ac:dyDescent="0.25">
      <c r="A5" s="443" t="s">
        <v>201</v>
      </c>
      <c r="B5" s="443" t="s">
        <v>205</v>
      </c>
      <c r="C5" s="443" t="s">
        <v>284</v>
      </c>
      <c r="D5" s="443" t="s">
        <v>46</v>
      </c>
      <c r="E5" s="443"/>
      <c r="F5" s="443"/>
      <c r="G5" s="443"/>
      <c r="H5" s="443"/>
      <c r="I5" s="443"/>
      <c r="J5" s="443" t="s">
        <v>202</v>
      </c>
      <c r="K5" s="443"/>
      <c r="L5" s="443"/>
      <c r="M5" s="443"/>
      <c r="N5" s="443"/>
      <c r="O5" s="443"/>
      <c r="Q5" s="15" t="e">
        <f>J7</f>
        <v>#REF!</v>
      </c>
      <c r="R5" s="15" t="e">
        <f>K7</f>
        <v>#REF!</v>
      </c>
      <c r="S5" s="15" t="e">
        <f>L7</f>
        <v>#REF!</v>
      </c>
    </row>
    <row r="6" spans="1:22" ht="62.25" customHeight="1" x14ac:dyDescent="0.25">
      <c r="A6" s="443"/>
      <c r="B6" s="443"/>
      <c r="C6" s="443"/>
      <c r="D6" s="14" t="s">
        <v>6</v>
      </c>
      <c r="E6" s="14" t="s">
        <v>7</v>
      </c>
      <c r="F6" s="425" t="s">
        <v>8</v>
      </c>
      <c r="G6" s="426"/>
      <c r="H6" s="427"/>
      <c r="I6" s="14" t="s">
        <v>9</v>
      </c>
      <c r="J6" s="14" t="s">
        <v>10</v>
      </c>
      <c r="K6" s="14" t="s">
        <v>11</v>
      </c>
      <c r="L6" s="14" t="s">
        <v>12</v>
      </c>
      <c r="M6" s="140" t="s">
        <v>158</v>
      </c>
      <c r="N6" s="284" t="s">
        <v>239</v>
      </c>
      <c r="O6" s="309" t="s">
        <v>281</v>
      </c>
      <c r="Q6" s="15" t="e">
        <f>Q4-Q5</f>
        <v>#REF!</v>
      </c>
      <c r="R6" s="15" t="e">
        <f>R4-R5</f>
        <v>#REF!</v>
      </c>
      <c r="S6" s="15" t="e">
        <f>S4-S5</f>
        <v>#REF!</v>
      </c>
    </row>
    <row r="7" spans="1:22" ht="47.25" x14ac:dyDescent="0.25">
      <c r="A7" s="434" t="s">
        <v>76</v>
      </c>
      <c r="B7" s="434" t="s">
        <v>179</v>
      </c>
      <c r="C7" s="224" t="s">
        <v>47</v>
      </c>
      <c r="D7" s="14" t="s">
        <v>48</v>
      </c>
      <c r="E7" s="14" t="s">
        <v>48</v>
      </c>
      <c r="F7" s="425" t="s">
        <v>48</v>
      </c>
      <c r="G7" s="426"/>
      <c r="H7" s="427"/>
      <c r="I7" s="14" t="s">
        <v>48</v>
      </c>
      <c r="J7" s="73" t="e">
        <f>J10+J9+J8</f>
        <v>#REF!</v>
      </c>
      <c r="K7" s="73" t="e">
        <f>K10+K9+K8</f>
        <v>#REF!</v>
      </c>
      <c r="L7" s="73" t="e">
        <f>L10+L9+L8</f>
        <v>#REF!</v>
      </c>
      <c r="M7" s="73" t="e">
        <f t="shared" ref="M7" si="0">M10+M9+M8</f>
        <v>#REF!</v>
      </c>
      <c r="N7" s="73" t="e">
        <f t="shared" ref="N7" si="1">N10+N9+N8</f>
        <v>#REF!</v>
      </c>
      <c r="O7" s="67" t="e">
        <f>SUM(J7:N7)</f>
        <v>#REF!</v>
      </c>
      <c r="V7" s="15"/>
    </row>
    <row r="8" spans="1:22" ht="34.5" customHeight="1" x14ac:dyDescent="0.25">
      <c r="A8" s="434"/>
      <c r="B8" s="434"/>
      <c r="C8" s="200" t="s">
        <v>191</v>
      </c>
      <c r="D8" s="18" t="s">
        <v>74</v>
      </c>
      <c r="E8" s="152" t="s">
        <v>48</v>
      </c>
      <c r="F8" s="425" t="s">
        <v>48</v>
      </c>
      <c r="G8" s="426"/>
      <c r="H8" s="427"/>
      <c r="I8" s="152" t="s">
        <v>48</v>
      </c>
      <c r="J8" s="73">
        <v>6181600</v>
      </c>
      <c r="K8" s="73">
        <v>3000</v>
      </c>
      <c r="L8" s="73">
        <f>L13+L18+L23</f>
        <v>37560</v>
      </c>
      <c r="M8" s="73">
        <v>2500</v>
      </c>
      <c r="N8" s="73">
        <v>0</v>
      </c>
      <c r="O8" s="67">
        <f t="shared" ref="O8:O25" si="2">SUM(J8:N8)</f>
        <v>6224660</v>
      </c>
      <c r="V8" s="15"/>
    </row>
    <row r="9" spans="1:22" ht="31.5" x14ac:dyDescent="0.25">
      <c r="A9" s="434"/>
      <c r="B9" s="434"/>
      <c r="C9" s="200" t="s">
        <v>192</v>
      </c>
      <c r="D9" s="18"/>
      <c r="E9" s="152" t="s">
        <v>48</v>
      </c>
      <c r="F9" s="425" t="s">
        <v>48</v>
      </c>
      <c r="G9" s="426"/>
      <c r="H9" s="427"/>
      <c r="I9" s="152" t="s">
        <v>48</v>
      </c>
      <c r="J9" s="73">
        <f>J14++J19+J24</f>
        <v>4022906.0900000003</v>
      </c>
      <c r="K9" s="73" t="e">
        <f>K14+K24+K19</f>
        <v>#REF!</v>
      </c>
      <c r="L9" s="73">
        <f>L14+L19+L24</f>
        <v>1397694.4400000002</v>
      </c>
      <c r="M9" s="73">
        <f>M16++M19+M24</f>
        <v>0</v>
      </c>
      <c r="N9" s="73">
        <f>N16++N19+N24</f>
        <v>0</v>
      </c>
      <c r="O9" s="67" t="e">
        <f t="shared" si="2"/>
        <v>#REF!</v>
      </c>
      <c r="V9" s="15"/>
    </row>
    <row r="10" spans="1:22" ht="40.5" customHeight="1" x14ac:dyDescent="0.25">
      <c r="A10" s="428"/>
      <c r="B10" s="428"/>
      <c r="C10" s="200" t="s">
        <v>193</v>
      </c>
      <c r="D10" s="18"/>
      <c r="E10" s="14" t="s">
        <v>48</v>
      </c>
      <c r="F10" s="425" t="s">
        <v>48</v>
      </c>
      <c r="G10" s="426"/>
      <c r="H10" s="427"/>
      <c r="I10" s="14" t="s">
        <v>48</v>
      </c>
      <c r="J10" s="73" t="e">
        <f>J15+J20+J25</f>
        <v>#REF!</v>
      </c>
      <c r="K10" s="73" t="e">
        <f>K15+K20+K25</f>
        <v>#REF!</v>
      </c>
      <c r="L10" s="73" t="e">
        <f>L15+L20+L25</f>
        <v>#REF!</v>
      </c>
      <c r="M10" s="73" t="e">
        <f>M15+M20+M25</f>
        <v>#REF!</v>
      </c>
      <c r="N10" s="73" t="e">
        <f>N15+N20+N25</f>
        <v>#REF!</v>
      </c>
      <c r="O10" s="67" t="e">
        <f t="shared" si="2"/>
        <v>#REF!</v>
      </c>
      <c r="Q10" s="15">
        <v>2809386.2</v>
      </c>
      <c r="R10" s="15">
        <v>2813055.3</v>
      </c>
      <c r="S10" s="15">
        <v>2810976</v>
      </c>
    </row>
    <row r="11" spans="1:22" ht="17.25" hidden="1" customHeight="1" x14ac:dyDescent="0.25">
      <c r="A11" s="435"/>
      <c r="B11" s="435"/>
      <c r="C11" s="224"/>
      <c r="D11" s="18"/>
      <c r="E11" s="148"/>
      <c r="F11" s="425"/>
      <c r="G11" s="426"/>
      <c r="H11" s="427"/>
      <c r="I11" s="148"/>
      <c r="J11" s="67"/>
      <c r="K11" s="67"/>
      <c r="L11" s="67"/>
      <c r="M11" s="67"/>
      <c r="N11" s="67"/>
      <c r="O11" s="67">
        <f t="shared" si="2"/>
        <v>0</v>
      </c>
      <c r="Q11" s="15"/>
      <c r="R11" s="15"/>
      <c r="S11" s="15"/>
    </row>
    <row r="12" spans="1:22" ht="47.25" x14ac:dyDescent="0.25">
      <c r="A12" s="428" t="s">
        <v>49</v>
      </c>
      <c r="B12" s="444" t="s">
        <v>143</v>
      </c>
      <c r="C12" s="224" t="s">
        <v>50</v>
      </c>
      <c r="D12" s="14"/>
      <c r="E12" s="14" t="s">
        <v>48</v>
      </c>
      <c r="F12" s="425" t="s">
        <v>48</v>
      </c>
      <c r="G12" s="426"/>
      <c r="H12" s="427"/>
      <c r="I12" s="14" t="s">
        <v>48</v>
      </c>
      <c r="J12" s="67" t="e">
        <f>J15+J14</f>
        <v>#REF!</v>
      </c>
      <c r="K12" s="67" t="e">
        <f>K15+K13+K14</f>
        <v>#REF!</v>
      </c>
      <c r="L12" s="67" t="e">
        <f>L15+L13+L14</f>
        <v>#REF!</v>
      </c>
      <c r="M12" s="67" t="e">
        <f>M15+M13</f>
        <v>#REF!</v>
      </c>
      <c r="N12" s="67" t="e">
        <f>N15+N13</f>
        <v>#REF!</v>
      </c>
      <c r="O12" s="67" t="e">
        <f>SUM(J12:N12)</f>
        <v>#REF!</v>
      </c>
    </row>
    <row r="13" spans="1:22" ht="39" customHeight="1" x14ac:dyDescent="0.25">
      <c r="A13" s="428"/>
      <c r="B13" s="444"/>
      <c r="C13" s="200" t="s">
        <v>191</v>
      </c>
      <c r="D13" s="18" t="s">
        <v>74</v>
      </c>
      <c r="E13" s="157" t="s">
        <v>48</v>
      </c>
      <c r="F13" s="425" t="s">
        <v>48</v>
      </c>
      <c r="G13" s="426"/>
      <c r="H13" s="427"/>
      <c r="I13" s="157" t="s">
        <v>48</v>
      </c>
      <c r="J13" s="73">
        <v>0</v>
      </c>
      <c r="K13" s="67" t="e">
        <f>#REF!</f>
        <v>#REF!</v>
      </c>
      <c r="L13" s="73">
        <f>2500-300</f>
        <v>2200</v>
      </c>
      <c r="M13" s="73">
        <v>2500</v>
      </c>
      <c r="N13" s="73">
        <v>0</v>
      </c>
      <c r="O13" s="67" t="e">
        <f t="shared" si="2"/>
        <v>#REF!</v>
      </c>
    </row>
    <row r="14" spans="1:22" ht="31.5" x14ac:dyDescent="0.25">
      <c r="A14" s="428"/>
      <c r="B14" s="444"/>
      <c r="C14" s="200" t="s">
        <v>192</v>
      </c>
      <c r="D14" s="152"/>
      <c r="E14" s="152"/>
      <c r="F14" s="153"/>
      <c r="G14" s="154"/>
      <c r="H14" s="155"/>
      <c r="I14" s="152"/>
      <c r="J14" s="67">
        <f>27800+276124-6800+17407.21</f>
        <v>314531.21000000002</v>
      </c>
      <c r="K14" s="67" t="e">
        <f>#REF!</f>
        <v>#REF!</v>
      </c>
      <c r="L14" s="67">
        <f>'приложение 2'!M15</f>
        <v>93425.03</v>
      </c>
      <c r="M14" s="67"/>
      <c r="N14" s="67">
        <v>0</v>
      </c>
      <c r="O14" s="67" t="e">
        <f>SUM(J14:N14)</f>
        <v>#REF!</v>
      </c>
    </row>
    <row r="15" spans="1:22" ht="31.5" x14ac:dyDescent="0.25">
      <c r="A15" s="428"/>
      <c r="B15" s="444"/>
      <c r="C15" s="200" t="s">
        <v>193</v>
      </c>
      <c r="D15" s="18"/>
      <c r="E15" s="14"/>
      <c r="F15" s="425"/>
      <c r="G15" s="426"/>
      <c r="H15" s="427"/>
      <c r="I15" s="14"/>
      <c r="J15" s="67" t="e">
        <f>#REF!</f>
        <v>#REF!</v>
      </c>
      <c r="K15" s="67" t="e">
        <f>#REF!</f>
        <v>#REF!</v>
      </c>
      <c r="L15" s="67" t="e">
        <f>#REF!</f>
        <v>#REF!</v>
      </c>
      <c r="M15" s="67" t="e">
        <f>#REF!</f>
        <v>#REF!</v>
      </c>
      <c r="N15" s="67" t="e">
        <f>#REF!</f>
        <v>#REF!</v>
      </c>
      <c r="O15" s="67" t="e">
        <f t="shared" si="2"/>
        <v>#REF!</v>
      </c>
    </row>
    <row r="16" spans="1:22" hidden="1" x14ac:dyDescent="0.25">
      <c r="A16" s="428"/>
      <c r="B16" s="444"/>
      <c r="C16" s="224"/>
      <c r="D16" s="2"/>
      <c r="E16" s="14"/>
      <c r="F16" s="425"/>
      <c r="G16" s="426"/>
      <c r="H16" s="427"/>
      <c r="I16" s="14"/>
      <c r="K16" s="67"/>
      <c r="L16" s="67"/>
      <c r="M16" s="67"/>
      <c r="N16" s="67"/>
      <c r="O16" s="67">
        <f t="shared" si="2"/>
        <v>0</v>
      </c>
    </row>
    <row r="17" spans="1:15" ht="31.5" customHeight="1" x14ac:dyDescent="0.25">
      <c r="A17" s="431" t="s">
        <v>51</v>
      </c>
      <c r="B17" s="436" t="s">
        <v>144</v>
      </c>
      <c r="C17" s="224" t="s">
        <v>52</v>
      </c>
      <c r="D17" s="18"/>
      <c r="E17" s="14" t="s">
        <v>48</v>
      </c>
      <c r="F17" s="425" t="s">
        <v>48</v>
      </c>
      <c r="G17" s="426"/>
      <c r="H17" s="427"/>
      <c r="I17" s="14" t="s">
        <v>48</v>
      </c>
      <c r="J17" s="67">
        <f>J20+J19+J18</f>
        <v>41738870.470000006</v>
      </c>
      <c r="K17" s="67">
        <f>K20+K19+K18</f>
        <v>34136465.450000003</v>
      </c>
      <c r="L17" s="67">
        <f>L20+L19+L18</f>
        <v>34335925.849999994</v>
      </c>
      <c r="M17" s="67">
        <f>M20+M19+M18</f>
        <v>32938039.449999999</v>
      </c>
      <c r="N17" s="67">
        <f>N20+N19+N18</f>
        <v>32938039.449999999</v>
      </c>
      <c r="O17" s="67">
        <f t="shared" si="2"/>
        <v>176087340.66999999</v>
      </c>
    </row>
    <row r="18" spans="1:15" ht="36.75" customHeight="1" x14ac:dyDescent="0.25">
      <c r="A18" s="432"/>
      <c r="B18" s="437"/>
      <c r="C18" s="200" t="s">
        <v>191</v>
      </c>
      <c r="D18" s="18"/>
      <c r="E18" s="148" t="s">
        <v>48</v>
      </c>
      <c r="F18" s="425" t="s">
        <v>48</v>
      </c>
      <c r="G18" s="426"/>
      <c r="H18" s="427"/>
      <c r="I18" s="148" t="s">
        <v>48</v>
      </c>
      <c r="J18" s="67">
        <v>6181600</v>
      </c>
      <c r="K18" s="67">
        <v>0</v>
      </c>
      <c r="L18" s="67">
        <v>0</v>
      </c>
      <c r="M18" s="67">
        <v>0</v>
      </c>
      <c r="N18" s="67">
        <v>0</v>
      </c>
      <c r="O18" s="67">
        <f t="shared" si="2"/>
        <v>6181600</v>
      </c>
    </row>
    <row r="19" spans="1:15" ht="31.5" x14ac:dyDescent="0.25">
      <c r="A19" s="432"/>
      <c r="B19" s="437"/>
      <c r="C19" s="200" t="s">
        <v>192</v>
      </c>
      <c r="D19" s="2"/>
      <c r="E19" s="14" t="s">
        <v>48</v>
      </c>
      <c r="F19" s="425" t="s">
        <v>48</v>
      </c>
      <c r="G19" s="426"/>
      <c r="H19" s="427"/>
      <c r="I19" s="14" t="s">
        <v>48</v>
      </c>
      <c r="J19" s="67">
        <f>556913.66+125691.96+1860000+197569.99</f>
        <v>2740175.6100000003</v>
      </c>
      <c r="K19" s="67">
        <f>'Приложение 3'!K53</f>
        <v>1479370.68</v>
      </c>
      <c r="L19" s="67">
        <f>'приложение 2'!M49</f>
        <v>1134308.1000000001</v>
      </c>
      <c r="M19" s="67">
        <f>'Приложение 3'!M53</f>
        <v>0</v>
      </c>
      <c r="N19" s="67">
        <f>'Приложение 3'!N53</f>
        <v>0</v>
      </c>
      <c r="O19" s="67">
        <f t="shared" si="2"/>
        <v>5353854.3900000006</v>
      </c>
    </row>
    <row r="20" spans="1:15" ht="36" customHeight="1" x14ac:dyDescent="0.25">
      <c r="A20" s="432"/>
      <c r="B20" s="437"/>
      <c r="C20" s="200" t="s">
        <v>193</v>
      </c>
      <c r="D20" s="18" t="s">
        <v>74</v>
      </c>
      <c r="E20" s="14" t="s">
        <v>48</v>
      </c>
      <c r="F20" s="425" t="s">
        <v>48</v>
      </c>
      <c r="G20" s="426"/>
      <c r="H20" s="427"/>
      <c r="I20" s="14" t="s">
        <v>48</v>
      </c>
      <c r="J20" s="67">
        <f>'Приложение 3'!J54</f>
        <v>32817094.860000007</v>
      </c>
      <c r="K20" s="67">
        <f>'Приложение 3'!K54</f>
        <v>32657094.770000003</v>
      </c>
      <c r="L20" s="67">
        <f>'приложение 2'!M50</f>
        <v>33201617.749999993</v>
      </c>
      <c r="M20" s="67">
        <f>'Приложение 3'!M54</f>
        <v>32938039.449999999</v>
      </c>
      <c r="N20" s="67">
        <f>'Приложение 3'!N54</f>
        <v>32938039.449999999</v>
      </c>
      <c r="O20" s="67">
        <f t="shared" si="2"/>
        <v>164551886.28</v>
      </c>
    </row>
    <row r="21" spans="1:15" hidden="1" x14ac:dyDescent="0.25">
      <c r="A21" s="433"/>
      <c r="B21" s="438"/>
      <c r="C21" s="224"/>
      <c r="D21" s="18"/>
      <c r="E21" s="152"/>
      <c r="F21" s="153"/>
      <c r="G21" s="154"/>
      <c r="H21" s="155"/>
      <c r="I21" s="152"/>
      <c r="J21" s="67"/>
      <c r="K21" s="67"/>
      <c r="L21" s="67"/>
      <c r="M21" s="67"/>
      <c r="N21" s="67"/>
      <c r="O21" s="67">
        <f t="shared" si="2"/>
        <v>0</v>
      </c>
    </row>
    <row r="22" spans="1:15" ht="47.25" x14ac:dyDescent="0.25">
      <c r="A22" s="428" t="s">
        <v>53</v>
      </c>
      <c r="B22" s="429" t="s">
        <v>196</v>
      </c>
      <c r="C22" s="224" t="s">
        <v>50</v>
      </c>
      <c r="D22" s="18"/>
      <c r="E22" s="14" t="s">
        <v>48</v>
      </c>
      <c r="F22" s="425" t="s">
        <v>48</v>
      </c>
      <c r="G22" s="426"/>
      <c r="H22" s="427"/>
      <c r="I22" s="14" t="s">
        <v>48</v>
      </c>
      <c r="J22" s="73">
        <f>J25+J24</f>
        <v>13644150.699999999</v>
      </c>
      <c r="K22" s="73">
        <f>K25+K24</f>
        <v>15354612.059999999</v>
      </c>
      <c r="L22" s="73">
        <f>L25+L24+L23</f>
        <v>12616644.059999999</v>
      </c>
      <c r="M22" s="73">
        <f>M25+M24</f>
        <v>12057989.939999999</v>
      </c>
      <c r="N22" s="73">
        <f>N25+N24</f>
        <v>12057989.939999999</v>
      </c>
      <c r="O22" s="67">
        <f t="shared" si="2"/>
        <v>65731386.699999988</v>
      </c>
    </row>
    <row r="23" spans="1:15" s="362" customFormat="1" ht="47.25" x14ac:dyDescent="0.25">
      <c r="A23" s="428"/>
      <c r="B23" s="429"/>
      <c r="C23" s="200" t="s">
        <v>288</v>
      </c>
      <c r="D23" s="18"/>
      <c r="E23" s="361"/>
      <c r="F23" s="358"/>
      <c r="G23" s="359"/>
      <c r="H23" s="360"/>
      <c r="I23" s="361"/>
      <c r="J23" s="73"/>
      <c r="K23" s="73"/>
      <c r="L23" s="73">
        <f>'приложение 2'!M95</f>
        <v>35360</v>
      </c>
      <c r="M23" s="73"/>
      <c r="N23" s="73"/>
      <c r="O23" s="67">
        <f t="shared" si="2"/>
        <v>35360</v>
      </c>
    </row>
    <row r="24" spans="1:15" ht="31.5" x14ac:dyDescent="0.25">
      <c r="A24" s="428"/>
      <c r="B24" s="429"/>
      <c r="C24" s="200" t="s">
        <v>192</v>
      </c>
      <c r="D24" s="2"/>
      <c r="E24" s="14" t="s">
        <v>48</v>
      </c>
      <c r="F24" s="425" t="s">
        <v>48</v>
      </c>
      <c r="G24" s="426"/>
      <c r="H24" s="427"/>
      <c r="I24" s="14" t="s">
        <v>48</v>
      </c>
      <c r="J24" s="73">
        <f>155500+269769.2+65974.35+400000+76955.72</f>
        <v>968199.27</v>
      </c>
      <c r="K24" s="182">
        <f>'Приложение 4'!K67</f>
        <v>1262658.05</v>
      </c>
      <c r="L24" s="182">
        <f>'приложение 2'!M96</f>
        <v>169961.31</v>
      </c>
      <c r="M24" s="17">
        <v>0</v>
      </c>
      <c r="N24" s="17">
        <v>0</v>
      </c>
      <c r="O24" s="67">
        <f t="shared" si="2"/>
        <v>2400818.6300000004</v>
      </c>
    </row>
    <row r="25" spans="1:15" ht="47.25" x14ac:dyDescent="0.25">
      <c r="A25" s="428"/>
      <c r="B25" s="429"/>
      <c r="C25" s="200" t="s">
        <v>193</v>
      </c>
      <c r="D25" s="18" t="s">
        <v>74</v>
      </c>
      <c r="E25" s="14" t="s">
        <v>48</v>
      </c>
      <c r="F25" s="425" t="s">
        <v>48</v>
      </c>
      <c r="G25" s="426"/>
      <c r="H25" s="427"/>
      <c r="I25" s="14" t="s">
        <v>48</v>
      </c>
      <c r="J25" s="73">
        <f>'Приложение 4'!J68</f>
        <v>12675951.43</v>
      </c>
      <c r="K25" s="73">
        <f>'Приложение 4'!K68</f>
        <v>14091954.009999998</v>
      </c>
      <c r="L25" s="73">
        <f>'Приложение 4'!L68</f>
        <v>12411322.749999998</v>
      </c>
      <c r="M25" s="73">
        <f>'Приложение 4'!M68</f>
        <v>12057989.939999999</v>
      </c>
      <c r="N25" s="73">
        <f>'Приложение 4'!N68</f>
        <v>12057989.939999999</v>
      </c>
      <c r="O25" s="67">
        <f t="shared" si="2"/>
        <v>63295208.069999993</v>
      </c>
    </row>
    <row r="26" spans="1:15" x14ac:dyDescent="0.25">
      <c r="D26" s="19"/>
      <c r="E26" s="19"/>
      <c r="F26" s="19"/>
      <c r="G26" s="19"/>
      <c r="H26" s="19"/>
      <c r="I26" s="19"/>
    </row>
    <row r="27" spans="1:15" s="20" customFormat="1" ht="51.75" customHeight="1" x14ac:dyDescent="0.2">
      <c r="A27" s="430"/>
      <c r="B27" s="430"/>
      <c r="C27" s="430"/>
      <c r="D27" s="430"/>
      <c r="L27" s="424"/>
      <c r="M27" s="424"/>
      <c r="N27" s="424"/>
      <c r="O27" s="424"/>
    </row>
    <row r="28" spans="1:15" s="22" customFormat="1" hidden="1" x14ac:dyDescent="0.2">
      <c r="A28" s="440" t="s">
        <v>2</v>
      </c>
      <c r="B28" s="440"/>
      <c r="C28" s="440"/>
      <c r="D28" s="440"/>
      <c r="E28" s="441"/>
      <c r="F28" s="441"/>
      <c r="G28" s="441"/>
      <c r="H28" s="441"/>
      <c r="I28" s="441"/>
      <c r="J28" s="21"/>
      <c r="K28" s="21"/>
      <c r="N28" s="283"/>
      <c r="O28" s="22" t="s">
        <v>1</v>
      </c>
    </row>
    <row r="29" spans="1:15" hidden="1" x14ac:dyDescent="0.25"/>
    <row r="30" spans="1:15" hidden="1" x14ac:dyDescent="0.25"/>
    <row r="31" spans="1:15" hidden="1" x14ac:dyDescent="0.25"/>
  </sheetData>
  <mergeCells count="37">
    <mergeCell ref="L2:O2"/>
    <mergeCell ref="F8:H8"/>
    <mergeCell ref="F9:H9"/>
    <mergeCell ref="A28:D28"/>
    <mergeCell ref="E28:I28"/>
    <mergeCell ref="A3:O3"/>
    <mergeCell ref="A5:A6"/>
    <mergeCell ref="B5:B6"/>
    <mergeCell ref="C5:C6"/>
    <mergeCell ref="D5:I5"/>
    <mergeCell ref="J5:O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O1"/>
    <mergeCell ref="L27:O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9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S62"/>
  <sheetViews>
    <sheetView view="pageBreakPreview" zoomScale="58" zoomScaleSheetLayoutView="58" workbookViewId="0">
      <selection activeCell="M2" sqref="M2:P2"/>
    </sheetView>
  </sheetViews>
  <sheetFormatPr defaultColWidth="9.140625" defaultRowHeight="15.75" x14ac:dyDescent="0.2"/>
  <cols>
    <col min="1" max="1" width="7.7109375" style="25" customWidth="1"/>
    <col min="2" max="2" width="32" style="22" customWidth="1"/>
    <col min="3" max="3" width="16.140625" style="22" customWidth="1"/>
    <col min="4" max="5" width="9.140625" style="22"/>
    <col min="6" max="6" width="4.5703125" style="22" customWidth="1"/>
    <col min="7" max="7" width="2.42578125" style="22" customWidth="1"/>
    <col min="8" max="8" width="9.85546875" style="22" customWidth="1"/>
    <col min="9" max="9" width="11.42578125" style="22" customWidth="1"/>
    <col min="10" max="10" width="19.7109375" style="22" customWidth="1"/>
    <col min="11" max="11" width="20.42578125" style="22" customWidth="1"/>
    <col min="12" max="13" width="17.7109375" style="22" customWidth="1"/>
    <col min="14" max="14" width="17.7109375" style="283" customWidth="1"/>
    <col min="15" max="15" width="20.85546875" style="22" customWidth="1"/>
    <col min="16" max="16" width="26.28515625" style="22" customWidth="1"/>
    <col min="17" max="17" width="55.42578125" style="22" customWidth="1"/>
    <col min="18" max="16384" width="9.140625" style="22"/>
  </cols>
  <sheetData>
    <row r="1" spans="1:18" s="171" customFormat="1" ht="60" customHeight="1" x14ac:dyDescent="0.2">
      <c r="A1" s="25"/>
      <c r="M1" s="370" t="s">
        <v>291</v>
      </c>
      <c r="N1" s="370"/>
      <c r="O1" s="370"/>
      <c r="P1" s="370"/>
    </row>
    <row r="2" spans="1:18" ht="96.75" customHeight="1" x14ac:dyDescent="0.2">
      <c r="A2" s="36"/>
      <c r="B2" s="37"/>
      <c r="C2" s="37"/>
      <c r="D2" s="37"/>
      <c r="H2" s="37"/>
      <c r="I2" s="37"/>
      <c r="J2" s="37"/>
      <c r="K2" s="37"/>
      <c r="L2" s="160"/>
      <c r="M2" s="466" t="s">
        <v>171</v>
      </c>
      <c r="N2" s="466"/>
      <c r="O2" s="467"/>
      <c r="P2" s="467"/>
      <c r="Q2" s="1"/>
    </row>
    <row r="3" spans="1:18" ht="39" customHeight="1" x14ac:dyDescent="0.2">
      <c r="A3" s="468" t="s">
        <v>224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</row>
    <row r="4" spans="1:18" x14ac:dyDescent="0.2">
      <c r="E4" s="7"/>
      <c r="F4" s="6" t="s">
        <v>29</v>
      </c>
      <c r="G4" s="7">
        <v>4</v>
      </c>
      <c r="H4" s="7"/>
    </row>
    <row r="5" spans="1:18" ht="18" customHeight="1" x14ac:dyDescent="0.2">
      <c r="A5" s="396" t="s">
        <v>3</v>
      </c>
      <c r="B5" s="397" t="s">
        <v>283</v>
      </c>
      <c r="C5" s="364" t="s">
        <v>226</v>
      </c>
      <c r="D5" s="364" t="s">
        <v>4</v>
      </c>
      <c r="E5" s="364"/>
      <c r="F5" s="364"/>
      <c r="G5" s="364"/>
      <c r="H5" s="364"/>
      <c r="I5" s="364"/>
      <c r="J5" s="367" t="s">
        <v>222</v>
      </c>
      <c r="K5" s="368"/>
      <c r="L5" s="368"/>
      <c r="M5" s="368"/>
      <c r="N5" s="368"/>
      <c r="O5" s="369"/>
      <c r="P5" s="364" t="s">
        <v>5</v>
      </c>
    </row>
    <row r="6" spans="1:18" ht="83.25" customHeight="1" x14ac:dyDescent="0.2">
      <c r="A6" s="396"/>
      <c r="B6" s="398"/>
      <c r="C6" s="364"/>
      <c r="D6" s="16" t="s">
        <v>6</v>
      </c>
      <c r="E6" s="16" t="s">
        <v>7</v>
      </c>
      <c r="F6" s="367" t="s">
        <v>8</v>
      </c>
      <c r="G6" s="368"/>
      <c r="H6" s="369"/>
      <c r="I6" s="16" t="s">
        <v>9</v>
      </c>
      <c r="J6" s="16" t="s">
        <v>10</v>
      </c>
      <c r="K6" s="16" t="s">
        <v>11</v>
      </c>
      <c r="L6" s="16" t="s">
        <v>12</v>
      </c>
      <c r="M6" s="139" t="s">
        <v>158</v>
      </c>
      <c r="N6" s="282" t="s">
        <v>239</v>
      </c>
      <c r="O6" s="282" t="s">
        <v>240</v>
      </c>
      <c r="P6" s="364"/>
    </row>
    <row r="7" spans="1:18" x14ac:dyDescent="0.2">
      <c r="A7" s="2"/>
      <c r="B7" s="451" t="s">
        <v>219</v>
      </c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3"/>
      <c r="P7" s="16"/>
    </row>
    <row r="8" spans="1:18" ht="29.25" customHeight="1" x14ac:dyDescent="0.2">
      <c r="A8" s="58" t="s">
        <v>13</v>
      </c>
      <c r="B8" s="448" t="s">
        <v>55</v>
      </c>
      <c r="C8" s="449"/>
      <c r="D8" s="449"/>
      <c r="E8" s="449"/>
      <c r="F8" s="449"/>
      <c r="G8" s="449"/>
      <c r="H8" s="449"/>
      <c r="I8" s="449"/>
      <c r="J8" s="449"/>
      <c r="K8" s="449"/>
      <c r="L8" s="449"/>
      <c r="M8" s="449"/>
      <c r="N8" s="449"/>
      <c r="O8" s="450"/>
      <c r="P8" s="59"/>
    </row>
    <row r="9" spans="1:18" ht="83.25" customHeight="1" x14ac:dyDescent="0.2">
      <c r="A9" s="365" t="s">
        <v>30</v>
      </c>
      <c r="B9" s="184" t="s">
        <v>110</v>
      </c>
      <c r="C9" s="4" t="s">
        <v>56</v>
      </c>
      <c r="D9" s="2" t="s">
        <v>74</v>
      </c>
      <c r="E9" s="2" t="s">
        <v>27</v>
      </c>
      <c r="F9" s="28" t="s">
        <v>77</v>
      </c>
      <c r="G9" s="26">
        <v>2</v>
      </c>
      <c r="H9" s="29" t="s">
        <v>244</v>
      </c>
      <c r="I9" s="2" t="s">
        <v>78</v>
      </c>
      <c r="J9" s="180">
        <f>24664296.64-816087.14-125691.96+75619+512753.06+295173.21</f>
        <v>24606062.809999999</v>
      </c>
      <c r="K9" s="118">
        <f>25936164.08+290489.08+3607.73-3357.02-275006.02-1138.65</f>
        <v>25950759.199999999</v>
      </c>
      <c r="L9" s="118">
        <f>26129689.11+1165534.79-1048.24</f>
        <v>27294175.66</v>
      </c>
      <c r="M9" s="118">
        <f>L9+1048.24</f>
        <v>27295223.899999999</v>
      </c>
      <c r="N9" s="118">
        <f>M9</f>
        <v>27295223.899999999</v>
      </c>
      <c r="O9" s="118">
        <f>SUM(J9:N9)</f>
        <v>132441445.47</v>
      </c>
      <c r="P9" s="174" t="s">
        <v>177</v>
      </c>
      <c r="Q9" s="183" t="s">
        <v>181</v>
      </c>
      <c r="R9" s="219" t="s">
        <v>184</v>
      </c>
    </row>
    <row r="10" spans="1:18" ht="133.5" customHeight="1" x14ac:dyDescent="0.2">
      <c r="A10" s="447"/>
      <c r="B10" s="110" t="s">
        <v>137</v>
      </c>
      <c r="C10" s="4" t="s">
        <v>56</v>
      </c>
      <c r="D10" s="2" t="s">
        <v>74</v>
      </c>
      <c r="E10" s="2" t="s">
        <v>27</v>
      </c>
      <c r="F10" s="28" t="s">
        <v>77</v>
      </c>
      <c r="G10" s="61" t="s">
        <v>16</v>
      </c>
      <c r="H10" s="29" t="s">
        <v>252</v>
      </c>
      <c r="I10" s="2" t="s">
        <v>78</v>
      </c>
      <c r="J10" s="180">
        <f>572887.62</f>
        <v>572887.62</v>
      </c>
      <c r="K10" s="180">
        <f>330694.5+335701.48+216301.39</f>
        <v>882697.37</v>
      </c>
      <c r="L10" s="118">
        <v>91639.52</v>
      </c>
      <c r="M10" s="118"/>
      <c r="N10" s="118"/>
      <c r="O10" s="118">
        <f t="shared" ref="O10:O15" si="0">SUM(J10:N10)</f>
        <v>1547224.51</v>
      </c>
      <c r="P10" s="461"/>
    </row>
    <row r="11" spans="1:18" ht="141.75" customHeight="1" x14ac:dyDescent="0.2">
      <c r="A11" s="447"/>
      <c r="B11" s="110" t="s">
        <v>138</v>
      </c>
      <c r="C11" s="87" t="s">
        <v>56</v>
      </c>
      <c r="D11" s="88" t="s">
        <v>74</v>
      </c>
      <c r="E11" s="29" t="s">
        <v>27</v>
      </c>
      <c r="F11" s="61" t="s">
        <v>77</v>
      </c>
      <c r="G11" s="61" t="s">
        <v>16</v>
      </c>
      <c r="H11" s="29" t="s">
        <v>253</v>
      </c>
      <c r="I11" s="29" t="s">
        <v>78</v>
      </c>
      <c r="J11" s="138">
        <f>8160.87</f>
        <v>8160.87</v>
      </c>
      <c r="K11" s="67">
        <f>4420.47+3357.02+1138.65</f>
        <v>8916.14</v>
      </c>
      <c r="L11" s="67">
        <f>1048.24</f>
        <v>1048.24</v>
      </c>
      <c r="M11" s="67"/>
      <c r="N11" s="67"/>
      <c r="O11" s="118">
        <f t="shared" si="0"/>
        <v>18125.25</v>
      </c>
      <c r="P11" s="461"/>
      <c r="Q11" s="22" t="s">
        <v>0</v>
      </c>
    </row>
    <row r="12" spans="1:18" ht="69" customHeight="1" x14ac:dyDescent="0.2">
      <c r="A12" s="447"/>
      <c r="B12" s="343" t="s">
        <v>139</v>
      </c>
      <c r="C12" s="87" t="s">
        <v>56</v>
      </c>
      <c r="D12" s="88" t="s">
        <v>74</v>
      </c>
      <c r="E12" s="29" t="s">
        <v>27</v>
      </c>
      <c r="F12" s="61" t="s">
        <v>77</v>
      </c>
      <c r="G12" s="61" t="s">
        <v>16</v>
      </c>
      <c r="H12" s="29" t="s">
        <v>259</v>
      </c>
      <c r="I12" s="29" t="s">
        <v>78</v>
      </c>
      <c r="J12" s="138">
        <f>125691.96+125691.96+92180</f>
        <v>343563.92000000004</v>
      </c>
      <c r="K12" s="67">
        <f>254815.6+73538</f>
        <v>328353.59999999998</v>
      </c>
      <c r="L12" s="67">
        <f>245369.47</f>
        <v>245369.47</v>
      </c>
      <c r="M12" s="67"/>
      <c r="N12" s="67"/>
      <c r="O12" s="118">
        <f t="shared" si="0"/>
        <v>917286.99</v>
      </c>
      <c r="P12" s="461"/>
      <c r="Q12" s="22" t="s">
        <v>189</v>
      </c>
    </row>
    <row r="13" spans="1:18" ht="78.75" customHeight="1" x14ac:dyDescent="0.2">
      <c r="A13" s="447"/>
      <c r="B13" s="120" t="s">
        <v>111</v>
      </c>
      <c r="C13" s="4" t="s">
        <v>56</v>
      </c>
      <c r="D13" s="89" t="s">
        <v>74</v>
      </c>
      <c r="E13" s="90" t="s">
        <v>27</v>
      </c>
      <c r="F13" s="91" t="s">
        <v>77</v>
      </c>
      <c r="G13" s="91" t="s">
        <v>16</v>
      </c>
      <c r="H13" s="90" t="s">
        <v>247</v>
      </c>
      <c r="I13" s="90" t="s">
        <v>80</v>
      </c>
      <c r="J13" s="138">
        <f>200000+300000+15000</f>
        <v>515000</v>
      </c>
      <c r="K13" s="67">
        <v>0</v>
      </c>
      <c r="L13" s="67">
        <v>0</v>
      </c>
      <c r="M13" s="67"/>
      <c r="N13" s="67"/>
      <c r="O13" s="118">
        <f t="shared" si="0"/>
        <v>515000</v>
      </c>
      <c r="P13" s="85"/>
      <c r="Q13" s="22" t="s">
        <v>0</v>
      </c>
    </row>
    <row r="14" spans="1:18" ht="122.25" customHeight="1" x14ac:dyDescent="0.2">
      <c r="A14" s="366"/>
      <c r="B14" s="86" t="s">
        <v>121</v>
      </c>
      <c r="C14" s="81" t="s">
        <v>56</v>
      </c>
      <c r="D14" s="89" t="s">
        <v>74</v>
      </c>
      <c r="E14" s="90" t="s">
        <v>27</v>
      </c>
      <c r="F14" s="91" t="s">
        <v>77</v>
      </c>
      <c r="G14" s="91" t="s">
        <v>16</v>
      </c>
      <c r="H14" s="90" t="s">
        <v>260</v>
      </c>
      <c r="I14" s="90" t="s">
        <v>80</v>
      </c>
      <c r="J14" s="138">
        <v>0</v>
      </c>
      <c r="K14" s="67"/>
      <c r="L14" s="67"/>
      <c r="M14" s="67"/>
      <c r="N14" s="67"/>
      <c r="O14" s="118">
        <f t="shared" si="0"/>
        <v>0</v>
      </c>
      <c r="P14" s="82"/>
    </row>
    <row r="15" spans="1:18" ht="88.5" customHeight="1" x14ac:dyDescent="0.2">
      <c r="A15" s="365" t="s">
        <v>14</v>
      </c>
      <c r="B15" s="110" t="s">
        <v>109</v>
      </c>
      <c r="C15" s="4" t="s">
        <v>56</v>
      </c>
      <c r="D15" s="2" t="s">
        <v>74</v>
      </c>
      <c r="E15" s="2" t="s">
        <v>27</v>
      </c>
      <c r="F15" s="28" t="s">
        <v>77</v>
      </c>
      <c r="G15" s="61" t="s">
        <v>16</v>
      </c>
      <c r="H15" s="29" t="s">
        <v>244</v>
      </c>
      <c r="I15" s="2" t="s">
        <v>78</v>
      </c>
      <c r="J15" s="180">
        <f>4533475.22-81949.75+58744+44160.6+36969.65+373.44</f>
        <v>4591773.16</v>
      </c>
      <c r="K15" s="118">
        <f>4741057.86-49476.6-3607.73-272.19-51942.99-30</f>
        <v>4635728.3499999996</v>
      </c>
      <c r="L15" s="118">
        <f>4695549.65+92015.9-106.14</f>
        <v>4787459.4100000011</v>
      </c>
      <c r="M15" s="118">
        <f>L15+106.14</f>
        <v>4787565.5500000007</v>
      </c>
      <c r="N15" s="118">
        <f>M15</f>
        <v>4787565.5500000007</v>
      </c>
      <c r="O15" s="118">
        <f t="shared" si="0"/>
        <v>23590092.020000003</v>
      </c>
      <c r="P15" s="463" t="s">
        <v>84</v>
      </c>
      <c r="Q15" s="22" t="s">
        <v>188</v>
      </c>
    </row>
    <row r="16" spans="1:18" ht="138" customHeight="1" x14ac:dyDescent="0.2">
      <c r="A16" s="447"/>
      <c r="B16" s="110" t="s">
        <v>137</v>
      </c>
      <c r="C16" s="57" t="s">
        <v>56</v>
      </c>
      <c r="D16" s="63" t="s">
        <v>74</v>
      </c>
      <c r="E16" s="63" t="s">
        <v>27</v>
      </c>
      <c r="F16" s="64" t="s">
        <v>77</v>
      </c>
      <c r="G16" s="64" t="s">
        <v>16</v>
      </c>
      <c r="H16" s="63" t="s">
        <v>252</v>
      </c>
      <c r="I16" s="63" t="s">
        <v>78</v>
      </c>
      <c r="J16" s="180">
        <f>81130.25-36969.65</f>
        <v>44160.6</v>
      </c>
      <c r="K16" s="175">
        <f>27180.37+27219.04+13920.3</f>
        <v>68319.710000000006</v>
      </c>
      <c r="L16" s="118">
        <f>9262.08</f>
        <v>9262.08</v>
      </c>
      <c r="M16" s="118"/>
      <c r="N16" s="118"/>
      <c r="O16" s="67">
        <f>J16+K16+L16+M16+N16</f>
        <v>121742.39</v>
      </c>
      <c r="P16" s="464"/>
    </row>
    <row r="17" spans="1:17" ht="164.25" customHeight="1" x14ac:dyDescent="0.2">
      <c r="A17" s="447"/>
      <c r="B17" s="110" t="s">
        <v>138</v>
      </c>
      <c r="C17" s="57" t="s">
        <v>56</v>
      </c>
      <c r="D17" s="63" t="s">
        <v>74</v>
      </c>
      <c r="E17" s="63" t="s">
        <v>27</v>
      </c>
      <c r="F17" s="64" t="s">
        <v>77</v>
      </c>
      <c r="G17" s="64" t="s">
        <v>16</v>
      </c>
      <c r="H17" s="63" t="s">
        <v>253</v>
      </c>
      <c r="I17" s="63" t="s">
        <v>78</v>
      </c>
      <c r="J17" s="138">
        <f>446.06</f>
        <v>446.06</v>
      </c>
      <c r="K17" s="67">
        <f>443.89+272.19+30</f>
        <v>746.07999999999993</v>
      </c>
      <c r="L17" s="67">
        <f>106.14</f>
        <v>106.14</v>
      </c>
      <c r="M17" s="67"/>
      <c r="N17" s="67"/>
      <c r="O17" s="67">
        <f t="shared" ref="O17:O18" si="1">J17+K17+L17+M17</f>
        <v>1298.28</v>
      </c>
      <c r="P17" s="465"/>
    </row>
    <row r="18" spans="1:17" s="337" customFormat="1" ht="164.25" customHeight="1" x14ac:dyDescent="0.2">
      <c r="A18" s="447"/>
      <c r="B18" s="343" t="s">
        <v>139</v>
      </c>
      <c r="C18" s="57" t="s">
        <v>56</v>
      </c>
      <c r="D18" s="63" t="s">
        <v>74</v>
      </c>
      <c r="E18" s="63" t="s">
        <v>27</v>
      </c>
      <c r="F18" s="64" t="s">
        <v>77</v>
      </c>
      <c r="G18" s="64" t="s">
        <v>16</v>
      </c>
      <c r="H18" s="63" t="s">
        <v>259</v>
      </c>
      <c r="I18" s="63" t="s">
        <v>78</v>
      </c>
      <c r="J18" s="138"/>
      <c r="K18" s="67"/>
      <c r="L18" s="67">
        <v>30037.03</v>
      </c>
      <c r="M18" s="67"/>
      <c r="N18" s="67"/>
      <c r="O18" s="67">
        <f t="shared" si="1"/>
        <v>30037.03</v>
      </c>
      <c r="P18" s="346"/>
    </row>
    <row r="19" spans="1:17" ht="87.75" customHeight="1" x14ac:dyDescent="0.2">
      <c r="A19" s="366"/>
      <c r="B19" s="57" t="s">
        <v>111</v>
      </c>
      <c r="C19" s="57" t="s">
        <v>56</v>
      </c>
      <c r="D19" s="100" t="s">
        <v>74</v>
      </c>
      <c r="E19" s="101" t="s">
        <v>27</v>
      </c>
      <c r="F19" s="102" t="s">
        <v>77</v>
      </c>
      <c r="G19" s="102" t="s">
        <v>16</v>
      </c>
      <c r="H19" s="101" t="s">
        <v>247</v>
      </c>
      <c r="I19" s="101" t="s">
        <v>80</v>
      </c>
      <c r="J19" s="138">
        <v>7000</v>
      </c>
      <c r="K19" s="67">
        <v>0</v>
      </c>
      <c r="L19" s="67">
        <v>0</v>
      </c>
      <c r="M19" s="67"/>
      <c r="N19" s="67"/>
      <c r="O19" s="67">
        <f t="shared" ref="O19:O21" si="2">SUM(J19:M19)</f>
        <v>7000</v>
      </c>
      <c r="P19" s="98"/>
    </row>
    <row r="20" spans="1:17" ht="122.25" customHeight="1" x14ac:dyDescent="0.2">
      <c r="A20" s="2" t="s">
        <v>57</v>
      </c>
      <c r="B20" s="5" t="s">
        <v>58</v>
      </c>
      <c r="C20" s="4" t="s">
        <v>56</v>
      </c>
      <c r="D20" s="2"/>
      <c r="E20" s="2"/>
      <c r="F20" s="28"/>
      <c r="G20" s="61"/>
      <c r="H20" s="29"/>
      <c r="I20" s="2"/>
      <c r="J20" s="138"/>
      <c r="K20" s="67"/>
      <c r="L20" s="67"/>
      <c r="M20" s="67"/>
      <c r="N20" s="67"/>
      <c r="O20" s="67">
        <f t="shared" si="2"/>
        <v>0</v>
      </c>
      <c r="P20" s="31" t="s">
        <v>85</v>
      </c>
    </row>
    <row r="21" spans="1:17" ht="173.25" customHeight="1" x14ac:dyDescent="0.25">
      <c r="A21" s="130" t="s">
        <v>101</v>
      </c>
      <c r="B21" s="132" t="s">
        <v>152</v>
      </c>
      <c r="C21" s="165" t="s">
        <v>56</v>
      </c>
      <c r="D21" s="100" t="s">
        <v>74</v>
      </c>
      <c r="E21" s="101" t="s">
        <v>27</v>
      </c>
      <c r="F21" s="102" t="s">
        <v>77</v>
      </c>
      <c r="G21" s="102" t="s">
        <v>16</v>
      </c>
      <c r="H21" s="101" t="s">
        <v>261</v>
      </c>
      <c r="I21" s="101" t="s">
        <v>80</v>
      </c>
      <c r="J21" s="138">
        <v>6181600</v>
      </c>
      <c r="K21" s="67">
        <v>0</v>
      </c>
      <c r="L21" s="67">
        <v>0</v>
      </c>
      <c r="M21" s="67"/>
      <c r="N21" s="67"/>
      <c r="O21" s="67">
        <f t="shared" si="2"/>
        <v>6181600</v>
      </c>
      <c r="P21" s="31" t="s">
        <v>153</v>
      </c>
      <c r="Q21" s="22" t="s">
        <v>0</v>
      </c>
    </row>
    <row r="22" spans="1:17" s="162" customFormat="1" ht="44.25" customHeight="1" x14ac:dyDescent="0.2">
      <c r="A22" s="365" t="s">
        <v>159</v>
      </c>
      <c r="B22" s="475" t="s">
        <v>173</v>
      </c>
      <c r="C22" s="165" t="s">
        <v>56</v>
      </c>
      <c r="D22" s="100" t="s">
        <v>74</v>
      </c>
      <c r="E22" s="101" t="s">
        <v>27</v>
      </c>
      <c r="F22" s="102" t="s">
        <v>77</v>
      </c>
      <c r="G22" s="102" t="s">
        <v>16</v>
      </c>
      <c r="H22" s="100" t="s">
        <v>255</v>
      </c>
      <c r="I22" s="101" t="s">
        <v>78</v>
      </c>
      <c r="J22" s="138">
        <v>2920.72</v>
      </c>
      <c r="K22" s="67"/>
      <c r="L22" s="67"/>
      <c r="M22" s="67"/>
      <c r="N22" s="67"/>
      <c r="O22" s="67">
        <f>J22+K22+L22+M22</f>
        <v>2920.72</v>
      </c>
      <c r="P22" s="31"/>
    </row>
    <row r="23" spans="1:17" s="162" customFormat="1" ht="84.75" customHeight="1" x14ac:dyDescent="0.2">
      <c r="A23" s="366"/>
      <c r="B23" s="476"/>
      <c r="C23" s="165" t="s">
        <v>56</v>
      </c>
      <c r="D23" s="100" t="s">
        <v>74</v>
      </c>
      <c r="E23" s="101" t="s">
        <v>27</v>
      </c>
      <c r="F23" s="102" t="s">
        <v>77</v>
      </c>
      <c r="G23" s="102" t="s">
        <v>16</v>
      </c>
      <c r="H23" s="101" t="s">
        <v>255</v>
      </c>
      <c r="I23" s="101" t="s">
        <v>78</v>
      </c>
      <c r="J23" s="138">
        <v>42334.71</v>
      </c>
      <c r="K23" s="67"/>
      <c r="L23" s="67"/>
      <c r="M23" s="67"/>
      <c r="N23" s="67"/>
      <c r="O23" s="67">
        <f>J23+K23+L23+M23</f>
        <v>42334.71</v>
      </c>
      <c r="P23" s="31"/>
    </row>
    <row r="24" spans="1:17" ht="29.25" customHeight="1" x14ac:dyDescent="0.2">
      <c r="A24" s="45"/>
      <c r="B24" s="46" t="s">
        <v>15</v>
      </c>
      <c r="C24" s="47"/>
      <c r="D24" s="46"/>
      <c r="E24" s="46"/>
      <c r="F24" s="48"/>
      <c r="G24" s="49"/>
      <c r="H24" s="50"/>
      <c r="I24" s="46"/>
      <c r="J24" s="68">
        <f>SUM(J9:J23)</f>
        <v>36915910.470000006</v>
      </c>
      <c r="K24" s="68">
        <f>SUM(K9:K23)</f>
        <v>31875520.450000003</v>
      </c>
      <c r="L24" s="68">
        <f>SUM(L9:L21)</f>
        <v>32459097.549999997</v>
      </c>
      <c r="M24" s="68">
        <f>SUM(M9:M21)</f>
        <v>32082789.449999999</v>
      </c>
      <c r="N24" s="68">
        <f>SUM(N9:N21)</f>
        <v>32082789.449999999</v>
      </c>
      <c r="O24" s="68">
        <f>J24+K24+L24+M24+N24</f>
        <v>165416107.37</v>
      </c>
      <c r="P24" s="47"/>
      <c r="Q24" s="21"/>
    </row>
    <row r="25" spans="1:17" ht="27" customHeight="1" x14ac:dyDescent="0.2">
      <c r="A25" s="58" t="s">
        <v>16</v>
      </c>
      <c r="B25" s="448" t="s">
        <v>59</v>
      </c>
      <c r="C25" s="449"/>
      <c r="D25" s="449"/>
      <c r="E25" s="449"/>
      <c r="F25" s="449"/>
      <c r="G25" s="449"/>
      <c r="H25" s="449"/>
      <c r="I25" s="449"/>
      <c r="J25" s="449"/>
      <c r="K25" s="449"/>
      <c r="L25" s="449"/>
      <c r="M25" s="449"/>
      <c r="N25" s="449"/>
      <c r="O25" s="450"/>
      <c r="P25" s="60"/>
    </row>
    <row r="26" spans="1:17" ht="44.25" customHeight="1" x14ac:dyDescent="0.25">
      <c r="A26" s="365" t="s">
        <v>17</v>
      </c>
      <c r="B26" s="454" t="s">
        <v>122</v>
      </c>
      <c r="C26" s="5" t="s">
        <v>56</v>
      </c>
      <c r="D26" s="62" t="s">
        <v>74</v>
      </c>
      <c r="E26" s="63" t="s">
        <v>27</v>
      </c>
      <c r="F26" s="64" t="s">
        <v>77</v>
      </c>
      <c r="G26" s="64" t="s">
        <v>16</v>
      </c>
      <c r="H26" s="38" t="s">
        <v>262</v>
      </c>
      <c r="I26" s="74" t="s">
        <v>80</v>
      </c>
      <c r="J26" s="181">
        <f>12000</f>
        <v>12000</v>
      </c>
      <c r="K26" s="129">
        <v>0</v>
      </c>
      <c r="L26" s="129">
        <v>0</v>
      </c>
      <c r="M26" s="129"/>
      <c r="N26" s="129"/>
      <c r="O26" s="129">
        <f t="shared" ref="O26:O33" si="3">SUM(J26:M26)</f>
        <v>12000</v>
      </c>
      <c r="P26" s="460" t="s">
        <v>86</v>
      </c>
      <c r="Q26" s="32" t="s">
        <v>0</v>
      </c>
    </row>
    <row r="27" spans="1:17" ht="44.25" customHeight="1" x14ac:dyDescent="0.25">
      <c r="A27" s="447"/>
      <c r="B27" s="471"/>
      <c r="C27" s="123" t="s">
        <v>56</v>
      </c>
      <c r="D27" s="62" t="s">
        <v>74</v>
      </c>
      <c r="E27" s="63" t="s">
        <v>27</v>
      </c>
      <c r="F27" s="64" t="s">
        <v>77</v>
      </c>
      <c r="G27" s="64" t="s">
        <v>16</v>
      </c>
      <c r="H27" s="38" t="s">
        <v>262</v>
      </c>
      <c r="I27" s="124" t="s">
        <v>80</v>
      </c>
      <c r="J27" s="181">
        <f>3400</f>
        <v>3400</v>
      </c>
      <c r="K27" s="129">
        <v>0</v>
      </c>
      <c r="L27" s="129">
        <v>0</v>
      </c>
      <c r="M27" s="129"/>
      <c r="N27" s="129"/>
      <c r="O27" s="129">
        <f t="shared" si="3"/>
        <v>3400</v>
      </c>
      <c r="P27" s="461"/>
      <c r="Q27" s="32" t="s">
        <v>147</v>
      </c>
    </row>
    <row r="28" spans="1:17" ht="37.5" customHeight="1" x14ac:dyDescent="0.25">
      <c r="A28" s="366"/>
      <c r="B28" s="455"/>
      <c r="C28" s="122" t="s">
        <v>56</v>
      </c>
      <c r="D28" s="62" t="s">
        <v>74</v>
      </c>
      <c r="E28" s="63" t="s">
        <v>75</v>
      </c>
      <c r="F28" s="64" t="s">
        <v>77</v>
      </c>
      <c r="G28" s="64" t="s">
        <v>16</v>
      </c>
      <c r="H28" s="38" t="s">
        <v>262</v>
      </c>
      <c r="I28" s="121" t="s">
        <v>80</v>
      </c>
      <c r="J28" s="181">
        <f>18200</f>
        <v>18200</v>
      </c>
      <c r="K28" s="129"/>
      <c r="L28" s="129"/>
      <c r="M28" s="129"/>
      <c r="N28" s="129"/>
      <c r="O28" s="129">
        <f t="shared" si="3"/>
        <v>18200</v>
      </c>
      <c r="P28" s="462"/>
      <c r="Q28" s="33" t="s">
        <v>102</v>
      </c>
    </row>
    <row r="29" spans="1:17" ht="37.5" customHeight="1" x14ac:dyDescent="0.25">
      <c r="A29" s="365" t="s">
        <v>72</v>
      </c>
      <c r="B29" s="454" t="s">
        <v>150</v>
      </c>
      <c r="C29" s="125" t="s">
        <v>56</v>
      </c>
      <c r="D29" s="62" t="s">
        <v>74</v>
      </c>
      <c r="E29" s="63" t="s">
        <v>27</v>
      </c>
      <c r="F29" s="64" t="s">
        <v>77</v>
      </c>
      <c r="G29" s="64" t="s">
        <v>16</v>
      </c>
      <c r="H29" s="38" t="s">
        <v>263</v>
      </c>
      <c r="I29" s="126" t="s">
        <v>80</v>
      </c>
      <c r="J29" s="181">
        <f>1200000</f>
        <v>1200000</v>
      </c>
      <c r="K29" s="129">
        <v>200000</v>
      </c>
      <c r="L29" s="129">
        <v>350000</v>
      </c>
      <c r="M29" s="129"/>
      <c r="N29" s="129"/>
      <c r="O29" s="129">
        <f t="shared" si="3"/>
        <v>1750000</v>
      </c>
      <c r="P29" s="460" t="s">
        <v>86</v>
      </c>
      <c r="Q29" s="33" t="s">
        <v>211</v>
      </c>
    </row>
    <row r="30" spans="1:17" ht="37.5" customHeight="1" x14ac:dyDescent="0.25">
      <c r="A30" s="447"/>
      <c r="B30" s="471"/>
      <c r="C30" s="125" t="s">
        <v>56</v>
      </c>
      <c r="D30" s="62" t="s">
        <v>74</v>
      </c>
      <c r="E30" s="63" t="s">
        <v>27</v>
      </c>
      <c r="F30" s="64" t="s">
        <v>77</v>
      </c>
      <c r="G30" s="64" t="s">
        <v>16</v>
      </c>
      <c r="H30" s="38" t="s">
        <v>263</v>
      </c>
      <c r="I30" s="126" t="s">
        <v>80</v>
      </c>
      <c r="J30" s="181">
        <f>340000</f>
        <v>340000</v>
      </c>
      <c r="K30" s="129">
        <v>0</v>
      </c>
      <c r="L30" s="129">
        <v>0</v>
      </c>
      <c r="M30" s="129"/>
      <c r="N30" s="129"/>
      <c r="O30" s="129">
        <f t="shared" si="3"/>
        <v>340000</v>
      </c>
      <c r="P30" s="461"/>
      <c r="Q30" s="33"/>
    </row>
    <row r="31" spans="1:17" ht="54.75" customHeight="1" x14ac:dyDescent="0.25">
      <c r="A31" s="447"/>
      <c r="B31" s="471"/>
      <c r="C31" s="317" t="s">
        <v>56</v>
      </c>
      <c r="D31" s="62" t="s">
        <v>74</v>
      </c>
      <c r="E31" s="63" t="s">
        <v>75</v>
      </c>
      <c r="F31" s="64" t="s">
        <v>77</v>
      </c>
      <c r="G31" s="64" t="s">
        <v>16</v>
      </c>
      <c r="H31" s="38" t="s">
        <v>263</v>
      </c>
      <c r="I31" s="126" t="s">
        <v>80</v>
      </c>
      <c r="J31" s="181">
        <f>320000</f>
        <v>320000</v>
      </c>
      <c r="K31" s="129"/>
      <c r="L31" s="129">
        <f>200000</f>
        <v>200000</v>
      </c>
      <c r="M31" s="129"/>
      <c r="N31" s="129"/>
      <c r="O31" s="129">
        <f t="shared" si="3"/>
        <v>520000</v>
      </c>
      <c r="P31" s="462"/>
      <c r="Q31" s="33"/>
    </row>
    <row r="32" spans="1:17" s="311" customFormat="1" ht="65.25" customHeight="1" x14ac:dyDescent="0.25">
      <c r="A32" s="366"/>
      <c r="B32" s="455"/>
      <c r="C32" s="317" t="s">
        <v>56</v>
      </c>
      <c r="D32" s="62" t="s">
        <v>74</v>
      </c>
      <c r="E32" s="63" t="s">
        <v>27</v>
      </c>
      <c r="F32" s="64" t="s">
        <v>77</v>
      </c>
      <c r="G32" s="64" t="s">
        <v>16</v>
      </c>
      <c r="H32" s="38" t="s">
        <v>263</v>
      </c>
      <c r="I32" s="316" t="s">
        <v>28</v>
      </c>
      <c r="J32" s="181"/>
      <c r="K32" s="129"/>
      <c r="L32" s="129">
        <v>208000</v>
      </c>
      <c r="M32" s="129"/>
      <c r="N32" s="129"/>
      <c r="O32" s="129">
        <f t="shared" si="3"/>
        <v>208000</v>
      </c>
      <c r="P32" s="318"/>
      <c r="Q32" s="33"/>
    </row>
    <row r="33" spans="1:19" s="259" customFormat="1" ht="98.25" customHeight="1" x14ac:dyDescent="0.25">
      <c r="A33" s="365" t="s">
        <v>73</v>
      </c>
      <c r="B33" s="472" t="s">
        <v>212</v>
      </c>
      <c r="C33" s="322" t="s">
        <v>56</v>
      </c>
      <c r="D33" s="323" t="s">
        <v>74</v>
      </c>
      <c r="E33" s="324" t="s">
        <v>27</v>
      </c>
      <c r="F33" s="325" t="s">
        <v>77</v>
      </c>
      <c r="G33" s="325" t="s">
        <v>16</v>
      </c>
      <c r="H33" s="326" t="s">
        <v>262</v>
      </c>
      <c r="I33" s="327" t="s">
        <v>80</v>
      </c>
      <c r="J33" s="177"/>
      <c r="K33" s="177">
        <v>2000</v>
      </c>
      <c r="L33" s="177">
        <f>3500+2100+1600</f>
        <v>7200</v>
      </c>
      <c r="M33" s="177"/>
      <c r="N33" s="177"/>
      <c r="O33" s="177">
        <f t="shared" si="3"/>
        <v>9200</v>
      </c>
      <c r="P33" s="328"/>
      <c r="Q33" s="33" t="s">
        <v>213</v>
      </c>
    </row>
    <row r="34" spans="1:19" s="311" customFormat="1" ht="80.25" customHeight="1" x14ac:dyDescent="0.25">
      <c r="A34" s="447"/>
      <c r="B34" s="473"/>
      <c r="C34" s="329" t="s">
        <v>56</v>
      </c>
      <c r="D34" s="323" t="s">
        <v>74</v>
      </c>
      <c r="E34" s="324" t="s">
        <v>75</v>
      </c>
      <c r="F34" s="330" t="s">
        <v>77</v>
      </c>
      <c r="G34" s="325" t="s">
        <v>16</v>
      </c>
      <c r="H34" s="326" t="s">
        <v>262</v>
      </c>
      <c r="I34" s="327" t="s">
        <v>80</v>
      </c>
      <c r="J34" s="177"/>
      <c r="K34" s="177"/>
      <c r="L34" s="177">
        <f>2000+2100</f>
        <v>4100</v>
      </c>
      <c r="M34" s="177"/>
      <c r="N34" s="177"/>
      <c r="O34" s="177">
        <f>L34</f>
        <v>4100</v>
      </c>
      <c r="P34" s="328"/>
      <c r="Q34" s="33"/>
    </row>
    <row r="35" spans="1:19" s="310" customFormat="1" ht="90.75" customHeight="1" x14ac:dyDescent="0.25">
      <c r="A35" s="366"/>
      <c r="B35" s="474"/>
      <c r="C35" s="329" t="s">
        <v>56</v>
      </c>
      <c r="D35" s="331" t="s">
        <v>74</v>
      </c>
      <c r="E35" s="332" t="s">
        <v>27</v>
      </c>
      <c r="F35" s="332" t="s">
        <v>77</v>
      </c>
      <c r="G35" s="333" t="s">
        <v>16</v>
      </c>
      <c r="H35" s="334" t="s">
        <v>262</v>
      </c>
      <c r="I35" s="335" t="s">
        <v>28</v>
      </c>
      <c r="J35" s="329"/>
      <c r="K35" s="329"/>
      <c r="L35" s="329">
        <f>4206+94</f>
        <v>4300</v>
      </c>
      <c r="M35" s="329"/>
      <c r="N35" s="329"/>
      <c r="O35" s="329">
        <f>L35</f>
        <v>4300</v>
      </c>
      <c r="P35" s="328"/>
      <c r="Q35" s="33"/>
    </row>
    <row r="36" spans="1:19" ht="30.75" customHeight="1" x14ac:dyDescent="0.2">
      <c r="A36" s="45"/>
      <c r="B36" s="46" t="s">
        <v>18</v>
      </c>
      <c r="C36" s="47"/>
      <c r="D36" s="46"/>
      <c r="E36" s="46"/>
      <c r="F36" s="319"/>
      <c r="G36" s="320"/>
      <c r="H36" s="321"/>
      <c r="I36" s="46"/>
      <c r="J36" s="131">
        <f>SUM(J26:J31)</f>
        <v>1893600</v>
      </c>
      <c r="K36" s="131">
        <f>SUM(K26:K33)</f>
        <v>202000</v>
      </c>
      <c r="L36" s="131">
        <f>L29+L30+L31+L32+L33+L34+L35</f>
        <v>773600</v>
      </c>
      <c r="M36" s="131">
        <f>SUM(M26:M28)</f>
        <v>0</v>
      </c>
      <c r="N36" s="131">
        <f>SUM(N26:N28)</f>
        <v>0</v>
      </c>
      <c r="O36" s="131">
        <f>SUM(O26:O35)</f>
        <v>2869200</v>
      </c>
      <c r="P36" s="47"/>
      <c r="Q36" s="21"/>
    </row>
    <row r="37" spans="1:19" ht="30.75" customHeight="1" x14ac:dyDescent="0.2">
      <c r="A37" s="58" t="s">
        <v>19</v>
      </c>
      <c r="B37" s="448" t="s">
        <v>220</v>
      </c>
      <c r="C37" s="449"/>
      <c r="D37" s="449"/>
      <c r="E37" s="449"/>
      <c r="F37" s="449"/>
      <c r="G37" s="449"/>
      <c r="H37" s="449"/>
      <c r="I37" s="449"/>
      <c r="J37" s="449"/>
      <c r="K37" s="449"/>
      <c r="L37" s="449"/>
      <c r="M37" s="449"/>
      <c r="N37" s="449"/>
      <c r="O37" s="450"/>
      <c r="P37" s="60"/>
    </row>
    <row r="38" spans="1:19" ht="38.25" customHeight="1" x14ac:dyDescent="0.25">
      <c r="A38" s="447" t="s">
        <v>175</v>
      </c>
      <c r="B38" s="454" t="s">
        <v>60</v>
      </c>
      <c r="C38" s="142" t="s">
        <v>56</v>
      </c>
      <c r="D38" s="62" t="s">
        <v>74</v>
      </c>
      <c r="E38" s="63" t="s">
        <v>27</v>
      </c>
      <c r="F38" s="64" t="s">
        <v>77</v>
      </c>
      <c r="G38" s="64" t="s">
        <v>16</v>
      </c>
      <c r="H38" s="287" t="s">
        <v>248</v>
      </c>
      <c r="I38" s="286" t="s">
        <v>28</v>
      </c>
      <c r="J38" s="138">
        <v>2126280</v>
      </c>
      <c r="K38" s="67"/>
      <c r="L38" s="67"/>
      <c r="M38" s="67"/>
      <c r="N38" s="67"/>
      <c r="O38" s="67">
        <f>SUM(J38:M38)</f>
        <v>2126280</v>
      </c>
      <c r="P38" s="464"/>
      <c r="Q38" s="143"/>
      <c r="R38" s="144"/>
      <c r="S38" s="144"/>
    </row>
    <row r="39" spans="1:19" s="168" customFormat="1" ht="63.75" customHeight="1" x14ac:dyDescent="0.25">
      <c r="A39" s="447"/>
      <c r="B39" s="471"/>
      <c r="C39" s="167" t="s">
        <v>56</v>
      </c>
      <c r="D39" s="62" t="s">
        <v>74</v>
      </c>
      <c r="E39" s="63" t="s">
        <v>27</v>
      </c>
      <c r="F39" s="64" t="s">
        <v>77</v>
      </c>
      <c r="G39" s="64" t="s">
        <v>16</v>
      </c>
      <c r="H39" s="287" t="s">
        <v>248</v>
      </c>
      <c r="I39" s="286" t="s">
        <v>28</v>
      </c>
      <c r="J39" s="138">
        <v>662220</v>
      </c>
      <c r="K39" s="67">
        <f>345000+65100+10000</f>
        <v>420100</v>
      </c>
      <c r="L39" s="67">
        <f>75500+30000-250+30000+30000+20000</f>
        <v>185250</v>
      </c>
      <c r="M39" s="67">
        <f>75500+30000-250</f>
        <v>105250</v>
      </c>
      <c r="N39" s="67">
        <f>75500+30000-250</f>
        <v>105250</v>
      </c>
      <c r="O39" s="67">
        <f>SUM(J39:N39)</f>
        <v>1478070</v>
      </c>
      <c r="P39" s="464"/>
      <c r="Q39" s="222" t="s">
        <v>187</v>
      </c>
      <c r="R39" s="169"/>
      <c r="S39" s="169"/>
    </row>
    <row r="40" spans="1:19" ht="38.25" customHeight="1" x14ac:dyDescent="0.25">
      <c r="A40" s="447"/>
      <c r="B40" s="471"/>
      <c r="C40" s="146" t="s">
        <v>56</v>
      </c>
      <c r="D40" s="145" t="s">
        <v>74</v>
      </c>
      <c r="E40" s="166" t="s">
        <v>75</v>
      </c>
      <c r="F40" s="28" t="s">
        <v>77</v>
      </c>
      <c r="G40" s="61" t="s">
        <v>16</v>
      </c>
      <c r="H40" s="287" t="s">
        <v>248</v>
      </c>
      <c r="I40" s="286" t="s">
        <v>80</v>
      </c>
      <c r="J40" s="138">
        <v>18500</v>
      </c>
      <c r="K40" s="67">
        <f>20000-2050</f>
        <v>17950</v>
      </c>
      <c r="L40" s="67">
        <f>20000-2000-2100-721.7</f>
        <v>15178.3</v>
      </c>
      <c r="M40" s="67">
        <v>20000</v>
      </c>
      <c r="N40" s="67">
        <v>20000</v>
      </c>
      <c r="O40" s="67">
        <f>SUM(J40:N40)</f>
        <v>91628.3</v>
      </c>
      <c r="P40" s="464"/>
      <c r="Q40" s="264" t="s">
        <v>209</v>
      </c>
      <c r="R40" s="147"/>
      <c r="S40" s="147"/>
    </row>
    <row r="41" spans="1:19" ht="52.5" customHeight="1" x14ac:dyDescent="0.25">
      <c r="A41" s="447"/>
      <c r="B41" s="471"/>
      <c r="C41" s="146" t="s">
        <v>56</v>
      </c>
      <c r="D41" s="62" t="s">
        <v>74</v>
      </c>
      <c r="E41" s="63" t="s">
        <v>27</v>
      </c>
      <c r="F41" s="64" t="s">
        <v>77</v>
      </c>
      <c r="G41" s="64" t="s">
        <v>16</v>
      </c>
      <c r="H41" s="287" t="s">
        <v>248</v>
      </c>
      <c r="I41" s="286" t="s">
        <v>80</v>
      </c>
      <c r="J41" s="138"/>
      <c r="K41" s="67">
        <f>537000+103000+110000+988454-80000-37559</f>
        <v>1620895</v>
      </c>
      <c r="L41" s="67">
        <f>537000+103000+110000-20000-3500+180000-1600-2100</f>
        <v>902800</v>
      </c>
      <c r="M41" s="67">
        <f>537000+103000+110000-20000</f>
        <v>730000</v>
      </c>
      <c r="N41" s="67">
        <f>537000+103000+110000-20000</f>
        <v>730000</v>
      </c>
      <c r="O41" s="67">
        <f>J41+K41+L41+M41+N41</f>
        <v>3983695</v>
      </c>
      <c r="P41" s="464"/>
      <c r="Q41" s="264" t="s">
        <v>210</v>
      </c>
      <c r="R41" s="147"/>
      <c r="S41" s="147"/>
    </row>
    <row r="42" spans="1:19" ht="38.25" hidden="1" customHeight="1" x14ac:dyDescent="0.25">
      <c r="A42" s="447"/>
      <c r="B42" s="471"/>
      <c r="C42" s="142" t="s">
        <v>161</v>
      </c>
      <c r="D42" s="141" t="s">
        <v>74</v>
      </c>
      <c r="E42" s="141" t="s">
        <v>27</v>
      </c>
      <c r="F42" s="28" t="s">
        <v>77</v>
      </c>
      <c r="G42" s="61" t="s">
        <v>16</v>
      </c>
      <c r="H42" s="29" t="s">
        <v>97</v>
      </c>
      <c r="I42" s="286" t="s">
        <v>80</v>
      </c>
      <c r="J42" s="138">
        <v>0</v>
      </c>
      <c r="K42" s="67">
        <f>15000+10000+20000+20000+10000+33000+10000+15000+869000+10000+20000+30000+16000+20000</f>
        <v>1098000</v>
      </c>
      <c r="L42" s="67">
        <f>15000+10000+20000+20000+10000+33000+10000+15000+869000+10000+20000+30000+16000+20000+200000</f>
        <v>1298000</v>
      </c>
      <c r="M42" s="67">
        <f>15000+10000+20000+20000+10000+33000+10000+15000+869000+10000+20000+30000+16000+20000+200000</f>
        <v>1298000</v>
      </c>
      <c r="N42" s="67"/>
      <c r="O42" s="67">
        <f t="shared" ref="O42" si="4">SUM(J42:M42)</f>
        <v>3694000</v>
      </c>
      <c r="P42" s="464"/>
      <c r="Q42" s="469"/>
      <c r="R42" s="470"/>
      <c r="S42" s="470"/>
    </row>
    <row r="43" spans="1:19" ht="24.75" hidden="1" customHeight="1" x14ac:dyDescent="0.25">
      <c r="A43" s="447"/>
      <c r="B43" s="471"/>
      <c r="C43" s="142" t="s">
        <v>164</v>
      </c>
      <c r="D43" s="62" t="s">
        <v>74</v>
      </c>
      <c r="E43" s="63" t="s">
        <v>27</v>
      </c>
      <c r="F43" s="64" t="s">
        <v>77</v>
      </c>
      <c r="G43" s="64" t="s">
        <v>16</v>
      </c>
      <c r="H43" s="287" t="s">
        <v>97</v>
      </c>
      <c r="I43" s="286" t="s">
        <v>80</v>
      </c>
      <c r="J43" s="138">
        <v>0</v>
      </c>
      <c r="K43" s="67">
        <v>110000</v>
      </c>
      <c r="L43" s="67">
        <v>110000</v>
      </c>
      <c r="M43" s="67">
        <v>110000</v>
      </c>
      <c r="N43" s="67"/>
      <c r="O43" s="67">
        <f t="shared" ref="O43:O48" si="5">SUM(J43:M43)</f>
        <v>330000</v>
      </c>
      <c r="P43" s="464"/>
      <c r="Q43" s="33"/>
    </row>
    <row r="44" spans="1:19" ht="24" hidden="1" customHeight="1" x14ac:dyDescent="0.25">
      <c r="A44" s="447"/>
      <c r="B44" s="471"/>
      <c r="C44" s="142" t="s">
        <v>162</v>
      </c>
      <c r="D44" s="62" t="s">
        <v>74</v>
      </c>
      <c r="E44" s="63" t="s">
        <v>27</v>
      </c>
      <c r="F44" s="64" t="s">
        <v>77</v>
      </c>
      <c r="G44" s="64" t="s">
        <v>16</v>
      </c>
      <c r="H44" s="287" t="s">
        <v>97</v>
      </c>
      <c r="I44" s="286" t="s">
        <v>80</v>
      </c>
      <c r="J44" s="138">
        <v>0</v>
      </c>
      <c r="K44" s="67">
        <f>60000+20000+28000+15000</f>
        <v>123000</v>
      </c>
      <c r="L44" s="67">
        <f t="shared" ref="L44:M44" si="6">60000+20000+28000+15000</f>
        <v>123000</v>
      </c>
      <c r="M44" s="67">
        <f t="shared" si="6"/>
        <v>123000</v>
      </c>
      <c r="N44" s="67"/>
      <c r="O44" s="67">
        <f t="shared" si="5"/>
        <v>369000</v>
      </c>
      <c r="P44" s="464"/>
      <c r="Q44" s="33"/>
    </row>
    <row r="45" spans="1:19" ht="24" hidden="1" customHeight="1" x14ac:dyDescent="0.25">
      <c r="A45" s="447"/>
      <c r="B45" s="471"/>
      <c r="C45" s="142" t="s">
        <v>163</v>
      </c>
      <c r="D45" s="62" t="s">
        <v>74</v>
      </c>
      <c r="E45" s="63" t="s">
        <v>27</v>
      </c>
      <c r="F45" s="64" t="s">
        <v>77</v>
      </c>
      <c r="G45" s="64" t="s">
        <v>16</v>
      </c>
      <c r="H45" s="287" t="s">
        <v>97</v>
      </c>
      <c r="I45" s="286" t="s">
        <v>80</v>
      </c>
      <c r="J45" s="138">
        <v>0</v>
      </c>
      <c r="K45" s="67">
        <f>10000+20000+15000</f>
        <v>45000</v>
      </c>
      <c r="L45" s="67">
        <f t="shared" ref="L45:M45" si="7">10000+20000+15000</f>
        <v>45000</v>
      </c>
      <c r="M45" s="67">
        <f t="shared" si="7"/>
        <v>45000</v>
      </c>
      <c r="N45" s="67"/>
      <c r="O45" s="67">
        <f t="shared" si="5"/>
        <v>135000</v>
      </c>
      <c r="P45" s="464"/>
      <c r="Q45" s="33"/>
    </row>
    <row r="46" spans="1:19" ht="36.75" hidden="1" customHeight="1" x14ac:dyDescent="0.25">
      <c r="A46" s="447"/>
      <c r="B46" s="455"/>
      <c r="C46" s="142" t="s">
        <v>165</v>
      </c>
      <c r="D46" s="62" t="s">
        <v>74</v>
      </c>
      <c r="E46" s="63" t="s">
        <v>75</v>
      </c>
      <c r="F46" s="64" t="s">
        <v>77</v>
      </c>
      <c r="G46" s="64" t="s">
        <v>16</v>
      </c>
      <c r="H46" s="287" t="s">
        <v>97</v>
      </c>
      <c r="I46" s="286" t="s">
        <v>80</v>
      </c>
      <c r="J46" s="138">
        <v>18500</v>
      </c>
      <c r="K46" s="67">
        <f>10000+10000</f>
        <v>20000</v>
      </c>
      <c r="L46" s="67">
        <f t="shared" ref="L46:M46" si="8">10000+10000</f>
        <v>20000</v>
      </c>
      <c r="M46" s="67">
        <f t="shared" si="8"/>
        <v>20000</v>
      </c>
      <c r="N46" s="67"/>
      <c r="O46" s="67">
        <f t="shared" si="5"/>
        <v>78500</v>
      </c>
      <c r="P46" s="464"/>
      <c r="Q46" s="33"/>
    </row>
    <row r="47" spans="1:19" ht="26.25" customHeight="1" x14ac:dyDescent="0.25">
      <c r="A47" s="365" t="s">
        <v>96</v>
      </c>
      <c r="B47" s="454" t="s">
        <v>112</v>
      </c>
      <c r="C47" s="5" t="s">
        <v>56</v>
      </c>
      <c r="D47" s="89" t="s">
        <v>74</v>
      </c>
      <c r="E47" s="90" t="s">
        <v>27</v>
      </c>
      <c r="F47" s="91" t="s">
        <v>77</v>
      </c>
      <c r="G47" s="91" t="s">
        <v>16</v>
      </c>
      <c r="H47" s="287" t="s">
        <v>247</v>
      </c>
      <c r="I47" s="286" t="s">
        <v>28</v>
      </c>
      <c r="J47" s="138">
        <f>300000-29040-15000-100000-33600</f>
        <v>122360</v>
      </c>
      <c r="K47" s="67">
        <v>0</v>
      </c>
      <c r="L47" s="67">
        <v>0</v>
      </c>
      <c r="M47" s="67"/>
      <c r="N47" s="67"/>
      <c r="O47" s="67">
        <f t="shared" si="5"/>
        <v>122360</v>
      </c>
      <c r="P47" s="84"/>
      <c r="Q47" s="33"/>
    </row>
    <row r="48" spans="1:19" ht="40.5" customHeight="1" x14ac:dyDescent="0.25">
      <c r="A48" s="366"/>
      <c r="B48" s="455"/>
      <c r="C48" s="5" t="s">
        <v>56</v>
      </c>
      <c r="D48" s="62"/>
      <c r="E48" s="63"/>
      <c r="F48" s="64"/>
      <c r="G48" s="64"/>
      <c r="H48" s="63"/>
      <c r="I48" s="2"/>
      <c r="J48" s="138"/>
      <c r="K48" s="67"/>
      <c r="L48" s="67">
        <v>0</v>
      </c>
      <c r="M48" s="67"/>
      <c r="N48" s="67"/>
      <c r="O48" s="67">
        <f t="shared" si="5"/>
        <v>0</v>
      </c>
      <c r="P48" s="85"/>
      <c r="Q48" s="33"/>
    </row>
    <row r="49" spans="1:17" ht="27" customHeight="1" x14ac:dyDescent="0.2">
      <c r="A49" s="45"/>
      <c r="B49" s="46" t="s">
        <v>21</v>
      </c>
      <c r="C49" s="47"/>
      <c r="D49" s="46"/>
      <c r="E49" s="46"/>
      <c r="F49" s="48"/>
      <c r="G49" s="49"/>
      <c r="H49" s="50"/>
      <c r="I49" s="46"/>
      <c r="J49" s="68">
        <f>J38+J39+J40+J41+J47</f>
        <v>2929360</v>
      </c>
      <c r="K49" s="68">
        <f>K39+K40+K41</f>
        <v>2058945</v>
      </c>
      <c r="L49" s="68">
        <f>L39+L40+L41</f>
        <v>1103228.3</v>
      </c>
      <c r="M49" s="68">
        <f>M39+M40+M41</f>
        <v>855250</v>
      </c>
      <c r="N49" s="68">
        <f>N39+N40+N41</f>
        <v>855250</v>
      </c>
      <c r="O49" s="68">
        <f>J49+K49+L49+M49+N49</f>
        <v>7802033.2999999998</v>
      </c>
      <c r="P49" s="47"/>
      <c r="Q49" s="21"/>
    </row>
    <row r="50" spans="1:17" ht="33" customHeight="1" x14ac:dyDescent="0.2">
      <c r="A50" s="40"/>
      <c r="B50" s="41" t="s">
        <v>24</v>
      </c>
      <c r="C50" s="41"/>
      <c r="D50" s="41"/>
      <c r="E50" s="41"/>
      <c r="F50" s="42"/>
      <c r="G50" s="43"/>
      <c r="H50" s="44"/>
      <c r="I50" s="41"/>
      <c r="J50" s="70">
        <f t="shared" ref="J50:O50" si="9">J24+J36+J49</f>
        <v>41738870.470000006</v>
      </c>
      <c r="K50" s="70">
        <f t="shared" si="9"/>
        <v>34136465.450000003</v>
      </c>
      <c r="L50" s="70">
        <f t="shared" si="9"/>
        <v>34335925.849999994</v>
      </c>
      <c r="M50" s="70">
        <f t="shared" si="9"/>
        <v>32938039.449999999</v>
      </c>
      <c r="N50" s="70">
        <f t="shared" si="9"/>
        <v>32938039.449999999</v>
      </c>
      <c r="O50" s="70">
        <f t="shared" si="9"/>
        <v>176087340.67000002</v>
      </c>
      <c r="P50" s="41"/>
      <c r="Q50" s="21"/>
    </row>
    <row r="51" spans="1:17" x14ac:dyDescent="0.2">
      <c r="A51" s="151"/>
      <c r="B51" s="156" t="s">
        <v>25</v>
      </c>
      <c r="C51" s="156"/>
      <c r="D51" s="156"/>
      <c r="E51" s="156"/>
      <c r="F51" s="28"/>
      <c r="G51" s="149"/>
      <c r="H51" s="150"/>
      <c r="I51" s="156"/>
      <c r="J51" s="67"/>
      <c r="K51" s="67"/>
      <c r="L51" s="67"/>
      <c r="M51" s="67"/>
      <c r="N51" s="67"/>
      <c r="O51" s="67"/>
      <c r="P51" s="156"/>
    </row>
    <row r="52" spans="1:17" ht="22.5" customHeight="1" x14ac:dyDescent="0.2">
      <c r="A52" s="151"/>
      <c r="B52" s="156" t="s">
        <v>167</v>
      </c>
      <c r="C52" s="156"/>
      <c r="D52" s="156"/>
      <c r="E52" s="156"/>
      <c r="F52" s="28"/>
      <c r="G52" s="149"/>
      <c r="H52" s="150"/>
      <c r="I52" s="156"/>
      <c r="J52" s="67">
        <v>6181600</v>
      </c>
      <c r="K52" s="67"/>
      <c r="L52" s="67"/>
      <c r="M52" s="67"/>
      <c r="N52" s="67"/>
      <c r="O52" s="67">
        <f>SUM(J52:M52)</f>
        <v>6181600</v>
      </c>
      <c r="P52" s="156"/>
    </row>
    <row r="53" spans="1:17" ht="26.25" customHeight="1" x14ac:dyDescent="0.2">
      <c r="A53" s="151"/>
      <c r="B53" s="57" t="s">
        <v>168</v>
      </c>
      <c r="C53" s="156"/>
      <c r="D53" s="156"/>
      <c r="E53" s="156"/>
      <c r="F53" s="28"/>
      <c r="G53" s="149"/>
      <c r="H53" s="150"/>
      <c r="I53" s="156"/>
      <c r="J53" s="129">
        <f>556913.66+125691.96+1860000+197569.99</f>
        <v>2740175.6100000003</v>
      </c>
      <c r="K53" s="129">
        <f>K10+K16+K12+K29</f>
        <v>1479370.68</v>
      </c>
      <c r="L53" s="11">
        <f>L29+L31+L32+L10+L16+L12+L18</f>
        <v>1134308.1000000001</v>
      </c>
      <c r="M53" s="11"/>
      <c r="N53" s="11"/>
      <c r="O53" s="67">
        <f>SUM(J53:M53)</f>
        <v>5353854.3900000006</v>
      </c>
      <c r="P53" s="156"/>
    </row>
    <row r="54" spans="1:17" ht="30" customHeight="1" x14ac:dyDescent="0.2">
      <c r="A54" s="151"/>
      <c r="B54" s="156" t="s">
        <v>169</v>
      </c>
      <c r="C54" s="156"/>
      <c r="D54" s="156"/>
      <c r="E54" s="156"/>
      <c r="F54" s="28"/>
      <c r="G54" s="149"/>
      <c r="H54" s="150"/>
      <c r="I54" s="156"/>
      <c r="J54" s="67">
        <f>J50-J53-J52</f>
        <v>32817094.860000007</v>
      </c>
      <c r="K54" s="67">
        <f>K50-K53-K52</f>
        <v>32657094.770000003</v>
      </c>
      <c r="L54" s="67">
        <f>L50-L52-L53</f>
        <v>33201617.749999993</v>
      </c>
      <c r="M54" s="67">
        <f>M50</f>
        <v>32938039.449999999</v>
      </c>
      <c r="N54" s="67">
        <f>N50</f>
        <v>32938039.449999999</v>
      </c>
      <c r="O54" s="67">
        <f>SUM(J54:N54)</f>
        <v>164551886.28</v>
      </c>
      <c r="P54" s="156"/>
    </row>
    <row r="55" spans="1:17" ht="30" customHeight="1" x14ac:dyDescent="0.2">
      <c r="A55" s="3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  <row r="56" spans="1:17" x14ac:dyDescent="0.2">
      <c r="A56" s="30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21"/>
    </row>
    <row r="59" spans="1:17" s="24" customFormat="1" ht="31.5" customHeight="1" x14ac:dyDescent="0.2">
      <c r="A59" s="445"/>
      <c r="B59" s="445"/>
      <c r="C59" s="445"/>
      <c r="D59" s="445"/>
      <c r="E59" s="445"/>
      <c r="F59" s="445"/>
      <c r="G59" s="445"/>
      <c r="H59" s="445"/>
      <c r="I59" s="445"/>
      <c r="J59" s="23"/>
      <c r="K59" s="23"/>
      <c r="L59" s="23"/>
      <c r="M59" s="23"/>
      <c r="N59" s="23"/>
      <c r="O59" s="23"/>
    </row>
    <row r="61" spans="1:17" x14ac:dyDescent="0.2">
      <c r="J61" s="21"/>
      <c r="K61" s="21"/>
      <c r="L61" s="21"/>
      <c r="M61" s="21"/>
      <c r="N61" s="21"/>
      <c r="O61" s="21"/>
    </row>
    <row r="62" spans="1:17" x14ac:dyDescent="0.2">
      <c r="J62" s="21"/>
      <c r="K62" s="21"/>
      <c r="L62" s="21"/>
      <c r="M62" s="21"/>
      <c r="N62" s="21"/>
      <c r="O62" s="21"/>
      <c r="Q62" s="21"/>
    </row>
  </sheetData>
  <mergeCells count="35">
    <mergeCell ref="A33:A35"/>
    <mergeCell ref="B25:O25"/>
    <mergeCell ref="B33:B35"/>
    <mergeCell ref="P5:P6"/>
    <mergeCell ref="A59:I59"/>
    <mergeCell ref="A47:A48"/>
    <mergeCell ref="B47:B48"/>
    <mergeCell ref="P29:P31"/>
    <mergeCell ref="B22:B23"/>
    <mergeCell ref="A22:A23"/>
    <mergeCell ref="A26:A28"/>
    <mergeCell ref="B26:B28"/>
    <mergeCell ref="B29:B32"/>
    <mergeCell ref="A29:A32"/>
    <mergeCell ref="Q42:S42"/>
    <mergeCell ref="A38:A46"/>
    <mergeCell ref="B38:B46"/>
    <mergeCell ref="P38:P46"/>
    <mergeCell ref="B37:O37"/>
    <mergeCell ref="M1:P1"/>
    <mergeCell ref="P26:P28"/>
    <mergeCell ref="P15:P17"/>
    <mergeCell ref="A15:A19"/>
    <mergeCell ref="B7:O7"/>
    <mergeCell ref="B8:O8"/>
    <mergeCell ref="M2:P2"/>
    <mergeCell ref="A3:P3"/>
    <mergeCell ref="A5:A6"/>
    <mergeCell ref="B5:B6"/>
    <mergeCell ref="C5:C6"/>
    <mergeCell ref="D5:I5"/>
    <mergeCell ref="J5:O5"/>
    <mergeCell ref="A9:A14"/>
    <mergeCell ref="P10:P12"/>
    <mergeCell ref="F6:H6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9" fitToWidth="2" fitToHeight="3" orientation="landscape" r:id="rId1"/>
  <headerFooter alignWithMargins="0"/>
  <rowBreaks count="1" manualBreakCount="1">
    <brk id="2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T73"/>
  <sheetViews>
    <sheetView view="pageBreakPreview" zoomScale="59" zoomScaleNormal="85" zoomScaleSheetLayoutView="59" workbookViewId="0">
      <selection activeCell="M1" sqref="M1:P1"/>
    </sheetView>
  </sheetViews>
  <sheetFormatPr defaultColWidth="9.140625" defaultRowHeight="15.75" outlineLevelRow="1" x14ac:dyDescent="0.2"/>
  <cols>
    <col min="1" max="1" width="7.7109375" style="25" customWidth="1"/>
    <col min="2" max="2" width="30.85546875" style="22" customWidth="1"/>
    <col min="3" max="3" width="16.140625" style="22" customWidth="1"/>
    <col min="4" max="5" width="9.140625" style="22"/>
    <col min="6" max="6" width="4.5703125" style="22" customWidth="1"/>
    <col min="7" max="7" width="2.42578125" style="22" customWidth="1"/>
    <col min="8" max="8" width="12.42578125" style="22" customWidth="1"/>
    <col min="9" max="9" width="9.140625" style="22"/>
    <col min="10" max="10" width="16.42578125" style="22" customWidth="1"/>
    <col min="11" max="11" width="17" style="22" customWidth="1"/>
    <col min="12" max="13" width="17.42578125" style="22" customWidth="1"/>
    <col min="14" max="14" width="17.42578125" style="283" customWidth="1"/>
    <col min="15" max="15" width="19" style="22" customWidth="1"/>
    <col min="16" max="16" width="26.28515625" style="22" customWidth="1"/>
    <col min="17" max="17" width="33.140625" style="22" customWidth="1"/>
    <col min="18" max="16384" width="9.140625" style="22"/>
  </cols>
  <sheetData>
    <row r="1" spans="1:20" ht="77.25" customHeight="1" x14ac:dyDescent="0.2">
      <c r="M1" s="370" t="s">
        <v>292</v>
      </c>
      <c r="N1" s="370"/>
      <c r="O1" s="370"/>
      <c r="P1" s="370"/>
    </row>
    <row r="2" spans="1:20" ht="96.75" customHeight="1" x14ac:dyDescent="0.2">
      <c r="L2" s="159"/>
      <c r="M2" s="456" t="s">
        <v>197</v>
      </c>
      <c r="N2" s="456"/>
      <c r="O2" s="479"/>
      <c r="P2" s="479"/>
      <c r="Q2" s="1"/>
    </row>
    <row r="3" spans="1:20" ht="39" customHeight="1" x14ac:dyDescent="0.2">
      <c r="A3" s="468" t="s">
        <v>225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</row>
    <row r="4" spans="1:20" x14ac:dyDescent="0.2">
      <c r="E4" s="7"/>
      <c r="F4" s="6" t="s">
        <v>29</v>
      </c>
      <c r="G4" s="7">
        <v>5</v>
      </c>
      <c r="H4" s="7"/>
      <c r="I4" s="7"/>
    </row>
    <row r="5" spans="1:20" ht="18" customHeight="1" x14ac:dyDescent="0.2">
      <c r="A5" s="396" t="s">
        <v>3</v>
      </c>
      <c r="B5" s="397" t="s">
        <v>283</v>
      </c>
      <c r="C5" s="364" t="s">
        <v>226</v>
      </c>
      <c r="D5" s="364" t="s">
        <v>4</v>
      </c>
      <c r="E5" s="364"/>
      <c r="F5" s="364"/>
      <c r="G5" s="364"/>
      <c r="H5" s="364"/>
      <c r="I5" s="364"/>
      <c r="J5" s="367" t="s">
        <v>223</v>
      </c>
      <c r="K5" s="368"/>
      <c r="L5" s="368"/>
      <c r="M5" s="368"/>
      <c r="N5" s="368"/>
      <c r="O5" s="369"/>
      <c r="P5" s="364" t="s">
        <v>5</v>
      </c>
    </row>
    <row r="6" spans="1:20" ht="83.25" customHeight="1" x14ac:dyDescent="0.2">
      <c r="A6" s="396"/>
      <c r="B6" s="398"/>
      <c r="C6" s="364"/>
      <c r="D6" s="16" t="s">
        <v>6</v>
      </c>
      <c r="E6" s="16" t="s">
        <v>7</v>
      </c>
      <c r="F6" s="367" t="s">
        <v>8</v>
      </c>
      <c r="G6" s="368"/>
      <c r="H6" s="369"/>
      <c r="I6" s="16" t="s">
        <v>9</v>
      </c>
      <c r="J6" s="16" t="s">
        <v>10</v>
      </c>
      <c r="K6" s="16" t="s">
        <v>11</v>
      </c>
      <c r="L6" s="16" t="s">
        <v>12</v>
      </c>
      <c r="M6" s="139" t="s">
        <v>158</v>
      </c>
      <c r="N6" s="282" t="s">
        <v>239</v>
      </c>
      <c r="O6" s="282" t="s">
        <v>241</v>
      </c>
      <c r="P6" s="364"/>
    </row>
    <row r="7" spans="1:20" x14ac:dyDescent="0.2">
      <c r="A7" s="2"/>
      <c r="B7" s="451" t="s">
        <v>221</v>
      </c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3"/>
      <c r="P7" s="16"/>
    </row>
    <row r="8" spans="1:20" ht="19.5" customHeight="1" x14ac:dyDescent="0.2">
      <c r="A8" s="51" t="s">
        <v>13</v>
      </c>
      <c r="B8" s="480" t="s">
        <v>32</v>
      </c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1"/>
      <c r="O8" s="482"/>
      <c r="P8" s="52"/>
    </row>
    <row r="9" spans="1:20" ht="78.75" customHeight="1" x14ac:dyDescent="0.2">
      <c r="A9" s="365" t="s">
        <v>30</v>
      </c>
      <c r="B9" s="184" t="s">
        <v>123</v>
      </c>
      <c r="C9" s="165" t="s">
        <v>56</v>
      </c>
      <c r="D9" s="2" t="s">
        <v>74</v>
      </c>
      <c r="E9" s="2" t="s">
        <v>75</v>
      </c>
      <c r="F9" s="28" t="s">
        <v>77</v>
      </c>
      <c r="G9" s="26">
        <v>3</v>
      </c>
      <c r="H9" s="29" t="s">
        <v>244</v>
      </c>
      <c r="I9" s="2" t="s">
        <v>78</v>
      </c>
      <c r="J9" s="175">
        <f>8302599.58+430220</f>
        <v>8732819.5800000001</v>
      </c>
      <c r="K9" s="118">
        <f>9237753.86+160237.86+436912.6-646.73-112768.62-50.3</f>
        <v>9721438.6699999981</v>
      </c>
      <c r="L9" s="67">
        <f>9858916.43+260711.73+309600+63011.11-202.52</f>
        <v>10492036.75</v>
      </c>
      <c r="M9" s="118">
        <v>10119628.16</v>
      </c>
      <c r="N9" s="118">
        <f>M9</f>
        <v>10119628.16</v>
      </c>
      <c r="O9" s="118">
        <f>SUM(J9:N9)</f>
        <v>49185551.319999993</v>
      </c>
      <c r="P9" s="460" t="s">
        <v>87</v>
      </c>
      <c r="Q9" s="221" t="s">
        <v>186</v>
      </c>
    </row>
    <row r="10" spans="1:20" s="162" customFormat="1" ht="111.75" customHeight="1" x14ac:dyDescent="0.2">
      <c r="A10" s="447"/>
      <c r="B10" s="165" t="s">
        <v>173</v>
      </c>
      <c r="C10" s="165" t="s">
        <v>56</v>
      </c>
      <c r="D10" s="163" t="s">
        <v>74</v>
      </c>
      <c r="E10" s="29" t="s">
        <v>75</v>
      </c>
      <c r="F10" s="61" t="s">
        <v>77</v>
      </c>
      <c r="G10" s="164">
        <v>3</v>
      </c>
      <c r="H10" s="29" t="s">
        <v>255</v>
      </c>
      <c r="I10" s="29" t="s">
        <v>78</v>
      </c>
      <c r="J10" s="175">
        <v>13524.67</v>
      </c>
      <c r="K10" s="118"/>
      <c r="L10" s="118"/>
      <c r="M10" s="118"/>
      <c r="N10" s="118"/>
      <c r="O10" s="118">
        <f t="shared" ref="O10:O21" si="0">SUM(J10:N10)</f>
        <v>13524.67</v>
      </c>
      <c r="P10" s="461"/>
    </row>
    <row r="11" spans="1:20" ht="135" customHeight="1" x14ac:dyDescent="0.2">
      <c r="A11" s="447"/>
      <c r="B11" s="110" t="s">
        <v>137</v>
      </c>
      <c r="C11" s="4" t="s">
        <v>56</v>
      </c>
      <c r="D11" s="62" t="s">
        <v>74</v>
      </c>
      <c r="E11" s="63" t="s">
        <v>75</v>
      </c>
      <c r="F11" s="64" t="s">
        <v>77</v>
      </c>
      <c r="G11" s="66">
        <v>3</v>
      </c>
      <c r="H11" s="63" t="s">
        <v>252</v>
      </c>
      <c r="I11" s="63" t="s">
        <v>78</v>
      </c>
      <c r="J11" s="175">
        <f>316171.33+63431.05</f>
        <v>379602.38</v>
      </c>
      <c r="K11" s="180">
        <f>307252.05+64672.92-141460.39</f>
        <v>230464.57999999996</v>
      </c>
      <c r="L11" s="118">
        <v>17672.509999999998</v>
      </c>
      <c r="M11" s="118"/>
      <c r="N11" s="118"/>
      <c r="O11" s="118">
        <f t="shared" si="0"/>
        <v>627739.47</v>
      </c>
      <c r="P11" s="478"/>
    </row>
    <row r="12" spans="1:20" ht="149.25" customHeight="1" x14ac:dyDescent="0.2">
      <c r="A12" s="447"/>
      <c r="B12" s="184" t="s">
        <v>138</v>
      </c>
      <c r="C12" s="4" t="s">
        <v>56</v>
      </c>
      <c r="D12" s="62" t="s">
        <v>74</v>
      </c>
      <c r="E12" s="63" t="s">
        <v>75</v>
      </c>
      <c r="F12" s="64" t="s">
        <v>77</v>
      </c>
      <c r="G12" s="66">
        <v>3</v>
      </c>
      <c r="H12" s="63" t="s">
        <v>253</v>
      </c>
      <c r="I12" s="63" t="s">
        <v>78</v>
      </c>
      <c r="J12" s="176">
        <v>4111.0200000000004</v>
      </c>
      <c r="K12" s="67">
        <f>1972.92+646.73+50.3</f>
        <v>2669.9500000000003</v>
      </c>
      <c r="L12" s="67">
        <f>202.52</f>
        <v>202.52</v>
      </c>
      <c r="M12" s="67"/>
      <c r="N12" s="67"/>
      <c r="O12" s="118">
        <f t="shared" si="0"/>
        <v>6983.4900000000016</v>
      </c>
      <c r="P12" s="457"/>
    </row>
    <row r="13" spans="1:20" ht="66.75" customHeight="1" x14ac:dyDescent="0.2">
      <c r="A13" s="366"/>
      <c r="B13" s="343" t="s">
        <v>139</v>
      </c>
      <c r="C13" s="57" t="s">
        <v>56</v>
      </c>
      <c r="D13" s="63" t="s">
        <v>74</v>
      </c>
      <c r="E13" s="63" t="s">
        <v>75</v>
      </c>
      <c r="F13" s="64" t="s">
        <v>77</v>
      </c>
      <c r="G13" s="66">
        <v>3</v>
      </c>
      <c r="H13" s="63" t="s">
        <v>259</v>
      </c>
      <c r="I13" s="63" t="s">
        <v>78</v>
      </c>
      <c r="J13" s="176">
        <f>141865.92+65974.35</f>
        <v>207840.27000000002</v>
      </c>
      <c r="K13" s="67">
        <f>97532.69+54352</f>
        <v>151884.69</v>
      </c>
      <c r="L13" s="138">
        <f>152288.8</f>
        <v>152288.79999999999</v>
      </c>
      <c r="M13" s="67"/>
      <c r="N13" s="67"/>
      <c r="O13" s="118">
        <f t="shared" si="0"/>
        <v>512013.76</v>
      </c>
      <c r="P13" s="96"/>
      <c r="Q13" s="22" t="s">
        <v>102</v>
      </c>
    </row>
    <row r="14" spans="1:20" ht="115.5" customHeight="1" x14ac:dyDescent="0.2">
      <c r="A14" s="2" t="s">
        <v>14</v>
      </c>
      <c r="B14" s="4" t="s">
        <v>33</v>
      </c>
      <c r="C14" s="4" t="s">
        <v>56</v>
      </c>
      <c r="D14" s="260" t="s">
        <v>74</v>
      </c>
      <c r="E14" s="260" t="s">
        <v>75</v>
      </c>
      <c r="F14" s="28" t="s">
        <v>77</v>
      </c>
      <c r="G14" s="26">
        <v>3</v>
      </c>
      <c r="H14" s="38" t="s">
        <v>264</v>
      </c>
      <c r="I14" s="260" t="s">
        <v>80</v>
      </c>
      <c r="J14" s="176"/>
      <c r="K14" s="67">
        <v>202950</v>
      </c>
      <c r="L14" s="67"/>
      <c r="M14" s="67"/>
      <c r="N14" s="67"/>
      <c r="O14" s="118">
        <f t="shared" si="0"/>
        <v>202950</v>
      </c>
      <c r="P14" s="31" t="s">
        <v>91</v>
      </c>
      <c r="Q14" s="259" t="s">
        <v>206</v>
      </c>
      <c r="R14" s="22">
        <f>K14*0.01</f>
        <v>2029.5</v>
      </c>
    </row>
    <row r="15" spans="1:20" ht="65.25" customHeight="1" x14ac:dyDescent="0.2">
      <c r="A15" s="77" t="s">
        <v>57</v>
      </c>
      <c r="B15" s="76" t="s">
        <v>113</v>
      </c>
      <c r="C15" s="75" t="s">
        <v>56</v>
      </c>
      <c r="D15" s="99" t="s">
        <v>74</v>
      </c>
      <c r="E15" s="99" t="s">
        <v>75</v>
      </c>
      <c r="F15" s="103" t="s">
        <v>77</v>
      </c>
      <c r="G15" s="104">
        <v>3</v>
      </c>
      <c r="H15" s="38" t="s">
        <v>260</v>
      </c>
      <c r="I15" s="99" t="s">
        <v>80</v>
      </c>
      <c r="J15" s="176">
        <v>0</v>
      </c>
      <c r="K15" s="67"/>
      <c r="L15" s="67">
        <v>0</v>
      </c>
      <c r="M15" s="67"/>
      <c r="N15" s="67"/>
      <c r="O15" s="118">
        <f t="shared" si="0"/>
        <v>0</v>
      </c>
      <c r="P15" s="31" t="s">
        <v>104</v>
      </c>
      <c r="Q15" s="22" t="s">
        <v>102</v>
      </c>
    </row>
    <row r="16" spans="1:20" ht="87.75" customHeight="1" x14ac:dyDescent="0.2">
      <c r="A16" s="2" t="s">
        <v>101</v>
      </c>
      <c r="B16" s="5" t="s">
        <v>34</v>
      </c>
      <c r="C16" s="4" t="s">
        <v>56</v>
      </c>
      <c r="D16" s="74" t="s">
        <v>74</v>
      </c>
      <c r="E16" s="74" t="s">
        <v>27</v>
      </c>
      <c r="F16" s="28" t="s">
        <v>77</v>
      </c>
      <c r="G16" s="26">
        <v>3</v>
      </c>
      <c r="H16" s="38" t="s">
        <v>265</v>
      </c>
      <c r="I16" s="74" t="s">
        <v>80</v>
      </c>
      <c r="J16" s="176">
        <f>300+62924</f>
        <v>63224</v>
      </c>
      <c r="K16" s="67"/>
      <c r="L16" s="67">
        <v>0</v>
      </c>
      <c r="M16" s="67"/>
      <c r="N16" s="67"/>
      <c r="O16" s="118">
        <f t="shared" si="0"/>
        <v>63224</v>
      </c>
      <c r="P16" s="31" t="s">
        <v>92</v>
      </c>
      <c r="Q16" s="22">
        <f>J16*0.01</f>
        <v>632.24</v>
      </c>
      <c r="R16" s="22">
        <f>K16*0.01</f>
        <v>0</v>
      </c>
      <c r="S16" s="477" t="s">
        <v>154</v>
      </c>
      <c r="T16" s="477"/>
    </row>
    <row r="17" spans="1:20" s="259" customFormat="1" ht="170.25" customHeight="1" x14ac:dyDescent="0.2">
      <c r="A17" s="260" t="s">
        <v>159</v>
      </c>
      <c r="B17" s="270" t="s">
        <v>207</v>
      </c>
      <c r="C17" s="262" t="s">
        <v>56</v>
      </c>
      <c r="D17" s="260" t="s">
        <v>74</v>
      </c>
      <c r="E17" s="260" t="s">
        <v>75</v>
      </c>
      <c r="F17" s="28" t="s">
        <v>77</v>
      </c>
      <c r="G17" s="261">
        <v>3</v>
      </c>
      <c r="H17" s="38" t="s">
        <v>266</v>
      </c>
      <c r="I17" s="260" t="s">
        <v>80</v>
      </c>
      <c r="J17" s="176"/>
      <c r="K17" s="67">
        <v>2050</v>
      </c>
      <c r="L17" s="67"/>
      <c r="M17" s="67"/>
      <c r="N17" s="67"/>
      <c r="O17" s="118">
        <f t="shared" si="0"/>
        <v>2050</v>
      </c>
      <c r="P17" s="31" t="s">
        <v>91</v>
      </c>
      <c r="Q17" s="259" t="s">
        <v>208</v>
      </c>
      <c r="R17" s="259">
        <f>K17*0.01</f>
        <v>20.5</v>
      </c>
    </row>
    <row r="18" spans="1:20" s="259" customFormat="1" ht="87.75" customHeight="1" x14ac:dyDescent="0.2">
      <c r="A18" s="260" t="s">
        <v>174</v>
      </c>
      <c r="B18" s="263" t="s">
        <v>34</v>
      </c>
      <c r="C18" s="262" t="s">
        <v>56</v>
      </c>
      <c r="D18" s="260" t="s">
        <v>74</v>
      </c>
      <c r="E18" s="260" t="s">
        <v>27</v>
      </c>
      <c r="F18" s="28" t="s">
        <v>77</v>
      </c>
      <c r="G18" s="261">
        <v>3</v>
      </c>
      <c r="H18" s="38" t="s">
        <v>267</v>
      </c>
      <c r="I18" s="260" t="s">
        <v>80</v>
      </c>
      <c r="J18" s="176"/>
      <c r="K18" s="67">
        <v>54000</v>
      </c>
      <c r="L18" s="67">
        <v>0</v>
      </c>
      <c r="M18" s="67"/>
      <c r="N18" s="67"/>
      <c r="O18" s="118">
        <f t="shared" si="0"/>
        <v>54000</v>
      </c>
      <c r="P18" s="31" t="s">
        <v>92</v>
      </c>
      <c r="Q18" s="259" t="s">
        <v>214</v>
      </c>
      <c r="S18" s="477"/>
      <c r="T18" s="477"/>
    </row>
    <row r="19" spans="1:20" s="259" customFormat="1" ht="87.75" customHeight="1" x14ac:dyDescent="0.2">
      <c r="A19" s="260" t="s">
        <v>198</v>
      </c>
      <c r="B19" s="269" t="s">
        <v>215</v>
      </c>
      <c r="C19" s="262" t="s">
        <v>56</v>
      </c>
      <c r="D19" s="260" t="s">
        <v>74</v>
      </c>
      <c r="E19" s="260" t="s">
        <v>27</v>
      </c>
      <c r="F19" s="28" t="s">
        <v>77</v>
      </c>
      <c r="G19" s="261">
        <v>3</v>
      </c>
      <c r="H19" s="38" t="s">
        <v>265</v>
      </c>
      <c r="I19" s="260" t="s">
        <v>80</v>
      </c>
      <c r="J19" s="176"/>
      <c r="K19" s="67">
        <v>546</v>
      </c>
      <c r="L19" s="67">
        <v>0</v>
      </c>
      <c r="M19" s="67"/>
      <c r="N19" s="67"/>
      <c r="O19" s="118">
        <f t="shared" si="0"/>
        <v>546</v>
      </c>
      <c r="P19" s="31" t="s">
        <v>92</v>
      </c>
      <c r="Q19" s="259" t="s">
        <v>214</v>
      </c>
      <c r="S19" s="477"/>
      <c r="T19" s="477"/>
    </row>
    <row r="20" spans="1:20" s="348" customFormat="1" ht="210.75" customHeight="1" x14ac:dyDescent="0.2">
      <c r="A20" s="350" t="s">
        <v>228</v>
      </c>
      <c r="B20" s="352" t="s">
        <v>286</v>
      </c>
      <c r="C20" s="351" t="s">
        <v>56</v>
      </c>
      <c r="D20" s="350" t="s">
        <v>74</v>
      </c>
      <c r="E20" s="350" t="s">
        <v>75</v>
      </c>
      <c r="F20" s="28" t="s">
        <v>77</v>
      </c>
      <c r="G20" s="347">
        <v>3</v>
      </c>
      <c r="H20" s="38" t="s">
        <v>285</v>
      </c>
      <c r="I20" s="350" t="s">
        <v>80</v>
      </c>
      <c r="J20" s="176"/>
      <c r="K20" s="67"/>
      <c r="L20" s="67">
        <v>35360</v>
      </c>
      <c r="M20" s="67"/>
      <c r="N20" s="67"/>
      <c r="O20" s="118">
        <f t="shared" si="0"/>
        <v>35360</v>
      </c>
      <c r="P20" s="31"/>
      <c r="S20" s="353"/>
      <c r="T20" s="353"/>
    </row>
    <row r="21" spans="1:20" s="348" customFormat="1" ht="222.75" customHeight="1" x14ac:dyDescent="0.2">
      <c r="A21" s="350" t="s">
        <v>278</v>
      </c>
      <c r="B21" s="352" t="s">
        <v>287</v>
      </c>
      <c r="C21" s="351" t="s">
        <v>56</v>
      </c>
      <c r="D21" s="350" t="s">
        <v>74</v>
      </c>
      <c r="E21" s="350" t="s">
        <v>75</v>
      </c>
      <c r="F21" s="28" t="s">
        <v>77</v>
      </c>
      <c r="G21" s="347">
        <v>3</v>
      </c>
      <c r="H21" s="38" t="s">
        <v>289</v>
      </c>
      <c r="I21" s="350" t="s">
        <v>80</v>
      </c>
      <c r="J21" s="176"/>
      <c r="K21" s="67"/>
      <c r="L21" s="67">
        <v>721.7</v>
      </c>
      <c r="M21" s="67"/>
      <c r="N21" s="67"/>
      <c r="O21" s="118">
        <f t="shared" si="0"/>
        <v>721.7</v>
      </c>
      <c r="P21" s="31"/>
      <c r="S21" s="353"/>
      <c r="T21" s="353"/>
    </row>
    <row r="22" spans="1:20" ht="30.75" customHeight="1" x14ac:dyDescent="0.2">
      <c r="A22" s="45"/>
      <c r="B22" s="46" t="s">
        <v>15</v>
      </c>
      <c r="C22" s="47"/>
      <c r="D22" s="46"/>
      <c r="E22" s="46"/>
      <c r="F22" s="48"/>
      <c r="G22" s="49"/>
      <c r="H22" s="50"/>
      <c r="I22" s="46"/>
      <c r="J22" s="68">
        <f>SUM(J9:J16)</f>
        <v>9401121.9199999999</v>
      </c>
      <c r="K22" s="68">
        <f>SUM(K9:K19)</f>
        <v>10366003.889999997</v>
      </c>
      <c r="L22" s="68">
        <f>SUM(L9:L21)</f>
        <v>10698282.279999999</v>
      </c>
      <c r="M22" s="68">
        <f>SUM(M9:M16)</f>
        <v>10119628.16</v>
      </c>
      <c r="N22" s="68">
        <f>SUM(N9:N16)</f>
        <v>10119628.16</v>
      </c>
      <c r="O22" s="68">
        <f>J22+K22+L22+M22+N22</f>
        <v>50704664.409999996</v>
      </c>
      <c r="P22" s="47"/>
      <c r="Q22" s="21"/>
    </row>
    <row r="23" spans="1:20" ht="21" customHeight="1" x14ac:dyDescent="0.2">
      <c r="A23" s="51" t="s">
        <v>16</v>
      </c>
      <c r="B23" s="480" t="s">
        <v>35</v>
      </c>
      <c r="C23" s="481"/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  <c r="O23" s="482"/>
      <c r="P23" s="53"/>
    </row>
    <row r="24" spans="1:20" ht="167.25" customHeight="1" x14ac:dyDescent="0.25">
      <c r="A24" s="10" t="s">
        <v>17</v>
      </c>
      <c r="B24" s="12" t="s">
        <v>36</v>
      </c>
      <c r="C24" s="5" t="s">
        <v>56</v>
      </c>
      <c r="D24" s="2"/>
      <c r="E24" s="2"/>
      <c r="F24" s="28"/>
      <c r="G24" s="26"/>
      <c r="H24" s="29"/>
      <c r="I24" s="2"/>
      <c r="J24" s="11"/>
      <c r="K24" s="11"/>
      <c r="L24" s="11"/>
      <c r="M24" s="11"/>
      <c r="N24" s="11"/>
      <c r="O24" s="11">
        <f>SUM(J24:L24)</f>
        <v>0</v>
      </c>
      <c r="P24" s="31" t="s">
        <v>93</v>
      </c>
      <c r="Q24" s="32"/>
    </row>
    <row r="25" spans="1:20" ht="27" customHeight="1" x14ac:dyDescent="0.2">
      <c r="A25" s="45"/>
      <c r="B25" s="46" t="s">
        <v>18</v>
      </c>
      <c r="C25" s="47"/>
      <c r="D25" s="46"/>
      <c r="E25" s="46"/>
      <c r="F25" s="48"/>
      <c r="G25" s="49"/>
      <c r="H25" s="50"/>
      <c r="I25" s="46"/>
      <c r="J25" s="65">
        <f>SUM(J24:J24)</f>
        <v>0</v>
      </c>
      <c r="K25" s="65">
        <f>SUM(K24:K24)</f>
        <v>0</v>
      </c>
      <c r="L25" s="65">
        <f>SUM(L24:L24)</f>
        <v>0</v>
      </c>
      <c r="M25" s="65">
        <f t="shared" ref="M25:N25" si="1">SUM(M24:M24)</f>
        <v>0</v>
      </c>
      <c r="N25" s="65">
        <f t="shared" si="1"/>
        <v>0</v>
      </c>
      <c r="O25" s="65">
        <f>SUM(O24:O24)</f>
        <v>0</v>
      </c>
      <c r="P25" s="47"/>
      <c r="Q25" s="21"/>
    </row>
    <row r="26" spans="1:20" ht="22.5" customHeight="1" x14ac:dyDescent="0.2">
      <c r="A26" s="51" t="s">
        <v>19</v>
      </c>
      <c r="B26" s="480" t="s">
        <v>37</v>
      </c>
      <c r="C26" s="481"/>
      <c r="D26" s="481"/>
      <c r="E26" s="481"/>
      <c r="F26" s="481"/>
      <c r="G26" s="481"/>
      <c r="H26" s="481"/>
      <c r="I26" s="481"/>
      <c r="J26" s="481"/>
      <c r="K26" s="481"/>
      <c r="L26" s="481"/>
      <c r="M26" s="481"/>
      <c r="N26" s="481"/>
      <c r="O26" s="482"/>
      <c r="P26" s="53"/>
    </row>
    <row r="27" spans="1:20" ht="39.75" customHeight="1" x14ac:dyDescent="0.25">
      <c r="A27" s="365" t="s">
        <v>20</v>
      </c>
      <c r="B27" s="454" t="s">
        <v>130</v>
      </c>
      <c r="C27" s="5" t="s">
        <v>56</v>
      </c>
      <c r="D27" s="74" t="s">
        <v>74</v>
      </c>
      <c r="E27" s="74" t="s">
        <v>27</v>
      </c>
      <c r="F27" s="28" t="s">
        <v>77</v>
      </c>
      <c r="G27" s="26">
        <v>3</v>
      </c>
      <c r="H27" s="38" t="s">
        <v>268</v>
      </c>
      <c r="I27" s="74" t="s">
        <v>80</v>
      </c>
      <c r="J27" s="177">
        <f>16000+4000</f>
        <v>20000</v>
      </c>
      <c r="K27" s="129">
        <v>0</v>
      </c>
      <c r="L27" s="129">
        <v>0</v>
      </c>
      <c r="M27" s="129">
        <v>0</v>
      </c>
      <c r="N27" s="129">
        <v>0</v>
      </c>
      <c r="O27" s="129">
        <f t="shared" ref="O27:O32" si="2">SUM(J27:M27)</f>
        <v>20000</v>
      </c>
      <c r="P27" s="460" t="s">
        <v>88</v>
      </c>
      <c r="Q27" s="33" t="s">
        <v>99</v>
      </c>
    </row>
    <row r="28" spans="1:20" ht="39.75" customHeight="1" x14ac:dyDescent="0.25">
      <c r="A28" s="366"/>
      <c r="B28" s="455"/>
      <c r="C28" s="76" t="s">
        <v>56</v>
      </c>
      <c r="D28" s="62" t="s">
        <v>74</v>
      </c>
      <c r="E28" s="63" t="s">
        <v>27</v>
      </c>
      <c r="F28" s="64" t="s">
        <v>77</v>
      </c>
      <c r="G28" s="66">
        <v>3</v>
      </c>
      <c r="H28" s="38" t="s">
        <v>268</v>
      </c>
      <c r="I28" s="74" t="s">
        <v>28</v>
      </c>
      <c r="J28" s="177">
        <f>15000+3880</f>
        <v>18880</v>
      </c>
      <c r="K28" s="129">
        <v>0</v>
      </c>
      <c r="L28" s="129">
        <v>0</v>
      </c>
      <c r="M28" s="129">
        <v>0</v>
      </c>
      <c r="N28" s="129">
        <v>0</v>
      </c>
      <c r="O28" s="129">
        <f t="shared" si="2"/>
        <v>18880</v>
      </c>
      <c r="P28" s="462"/>
      <c r="Q28" s="33" t="s">
        <v>98</v>
      </c>
    </row>
    <row r="29" spans="1:20" ht="62.25" customHeight="1" x14ac:dyDescent="0.25">
      <c r="A29" s="365" t="s">
        <v>96</v>
      </c>
      <c r="B29" s="454" t="s">
        <v>114</v>
      </c>
      <c r="C29" s="76" t="s">
        <v>56</v>
      </c>
      <c r="D29" s="89" t="s">
        <v>74</v>
      </c>
      <c r="E29" s="90" t="s">
        <v>27</v>
      </c>
      <c r="F29" s="91" t="s">
        <v>77</v>
      </c>
      <c r="G29" s="92">
        <v>3</v>
      </c>
      <c r="H29" s="38" t="s">
        <v>269</v>
      </c>
      <c r="I29" s="99" t="s">
        <v>80</v>
      </c>
      <c r="J29" s="177">
        <v>90000</v>
      </c>
      <c r="K29" s="129">
        <v>0</v>
      </c>
      <c r="L29" s="129">
        <v>0</v>
      </c>
      <c r="M29" s="129">
        <v>0</v>
      </c>
      <c r="N29" s="129">
        <v>0</v>
      </c>
      <c r="O29" s="129">
        <f t="shared" si="2"/>
        <v>90000</v>
      </c>
      <c r="P29" s="460" t="s">
        <v>105</v>
      </c>
      <c r="Q29" s="33" t="s">
        <v>99</v>
      </c>
    </row>
    <row r="30" spans="1:20" ht="64.5" customHeight="1" x14ac:dyDescent="0.25">
      <c r="A30" s="366"/>
      <c r="B30" s="455"/>
      <c r="C30" s="76" t="s">
        <v>56</v>
      </c>
      <c r="D30" s="89" t="s">
        <v>74</v>
      </c>
      <c r="E30" s="90" t="s">
        <v>27</v>
      </c>
      <c r="F30" s="91" t="s">
        <v>77</v>
      </c>
      <c r="G30" s="92">
        <v>3</v>
      </c>
      <c r="H30" s="93" t="s">
        <v>269</v>
      </c>
      <c r="I30" s="99" t="s">
        <v>28</v>
      </c>
      <c r="J30" s="177">
        <v>0</v>
      </c>
      <c r="K30" s="129">
        <v>0</v>
      </c>
      <c r="L30" s="129">
        <v>0</v>
      </c>
      <c r="M30" s="129">
        <v>0</v>
      </c>
      <c r="N30" s="129">
        <v>0</v>
      </c>
      <c r="O30" s="129">
        <f t="shared" si="2"/>
        <v>0</v>
      </c>
      <c r="P30" s="462"/>
      <c r="Q30" s="33" t="s">
        <v>98</v>
      </c>
    </row>
    <row r="31" spans="1:20" ht="43.5" customHeight="1" x14ac:dyDescent="0.25">
      <c r="A31" s="365" t="s">
        <v>133</v>
      </c>
      <c r="B31" s="454" t="s">
        <v>131</v>
      </c>
      <c r="C31" s="95" t="s">
        <v>56</v>
      </c>
      <c r="D31" s="89" t="s">
        <v>74</v>
      </c>
      <c r="E31" s="90" t="s">
        <v>27</v>
      </c>
      <c r="F31" s="91" t="s">
        <v>77</v>
      </c>
      <c r="G31" s="92">
        <v>3</v>
      </c>
      <c r="H31" s="93" t="s">
        <v>270</v>
      </c>
      <c r="I31" s="99" t="s">
        <v>28</v>
      </c>
      <c r="J31" s="177">
        <v>75500</v>
      </c>
      <c r="K31" s="129">
        <v>0</v>
      </c>
      <c r="L31" s="129">
        <v>0</v>
      </c>
      <c r="M31" s="129">
        <v>0</v>
      </c>
      <c r="N31" s="129">
        <v>0</v>
      </c>
      <c r="O31" s="129">
        <f t="shared" si="2"/>
        <v>75500</v>
      </c>
      <c r="P31" s="97"/>
      <c r="Q31" s="33" t="s">
        <v>98</v>
      </c>
    </row>
    <row r="32" spans="1:20" ht="38.25" customHeight="1" x14ac:dyDescent="0.25">
      <c r="A32" s="366"/>
      <c r="B32" s="455"/>
      <c r="C32" s="69" t="s">
        <v>56</v>
      </c>
      <c r="D32" s="101" t="s">
        <v>74</v>
      </c>
      <c r="E32" s="101" t="s">
        <v>27</v>
      </c>
      <c r="F32" s="102" t="s">
        <v>77</v>
      </c>
      <c r="G32" s="116">
        <v>3</v>
      </c>
      <c r="H32" s="101" t="s">
        <v>270</v>
      </c>
      <c r="I32" s="101" t="s">
        <v>80</v>
      </c>
      <c r="J32" s="177">
        <v>80000</v>
      </c>
      <c r="K32" s="129">
        <v>0</v>
      </c>
      <c r="L32" s="129">
        <v>0</v>
      </c>
      <c r="M32" s="129">
        <v>0</v>
      </c>
      <c r="N32" s="129">
        <v>0</v>
      </c>
      <c r="O32" s="129">
        <f t="shared" si="2"/>
        <v>80000</v>
      </c>
      <c r="P32" s="115"/>
      <c r="Q32" s="33" t="s">
        <v>99</v>
      </c>
    </row>
    <row r="33" spans="1:18" ht="93.75" customHeight="1" x14ac:dyDescent="0.25">
      <c r="A33" s="78" t="s">
        <v>132</v>
      </c>
      <c r="B33" s="80" t="s">
        <v>115</v>
      </c>
      <c r="C33" s="76" t="s">
        <v>56</v>
      </c>
      <c r="D33" s="89" t="s">
        <v>74</v>
      </c>
      <c r="E33" s="90" t="s">
        <v>26</v>
      </c>
      <c r="F33" s="91" t="s">
        <v>77</v>
      </c>
      <c r="G33" s="92">
        <v>3</v>
      </c>
      <c r="H33" s="38" t="s">
        <v>271</v>
      </c>
      <c r="I33" s="99" t="s">
        <v>28</v>
      </c>
      <c r="J33" s="177">
        <v>250000</v>
      </c>
      <c r="K33" s="129">
        <f>250000-20000</f>
        <v>230000</v>
      </c>
      <c r="L33" s="129">
        <f>124500+20000</f>
        <v>144500</v>
      </c>
      <c r="M33" s="129">
        <v>144500</v>
      </c>
      <c r="N33" s="129">
        <f>M33</f>
        <v>144500</v>
      </c>
      <c r="O33" s="129">
        <f>SUM(J33:N33)</f>
        <v>913500</v>
      </c>
      <c r="P33" s="79"/>
      <c r="Q33" s="33" t="s">
        <v>100</v>
      </c>
    </row>
    <row r="34" spans="1:18" ht="27.75" customHeight="1" x14ac:dyDescent="0.2">
      <c r="A34" s="45"/>
      <c r="B34" s="46" t="s">
        <v>21</v>
      </c>
      <c r="C34" s="47"/>
      <c r="D34" s="46"/>
      <c r="E34" s="46"/>
      <c r="F34" s="48"/>
      <c r="G34" s="49"/>
      <c r="H34" s="50"/>
      <c r="I34" s="46"/>
      <c r="J34" s="131">
        <f>SUM(J27:J33)</f>
        <v>534380</v>
      </c>
      <c r="K34" s="131">
        <f t="shared" ref="K34:N34" si="3">SUM(K27:K33)</f>
        <v>230000</v>
      </c>
      <c r="L34" s="131">
        <f t="shared" si="3"/>
        <v>144500</v>
      </c>
      <c r="M34" s="131">
        <f t="shared" si="3"/>
        <v>144500</v>
      </c>
      <c r="N34" s="131">
        <f t="shared" si="3"/>
        <v>144500</v>
      </c>
      <c r="O34" s="131">
        <f>SUM(O27:O33)</f>
        <v>1197880</v>
      </c>
      <c r="P34" s="47"/>
      <c r="Q34" s="21"/>
    </row>
    <row r="35" spans="1:18" ht="23.25" customHeight="1" x14ac:dyDescent="0.2">
      <c r="A35" s="51" t="s">
        <v>22</v>
      </c>
      <c r="B35" s="480" t="s">
        <v>38</v>
      </c>
      <c r="C35" s="481"/>
      <c r="D35" s="481"/>
      <c r="E35" s="481"/>
      <c r="F35" s="481"/>
      <c r="G35" s="481"/>
      <c r="H35" s="481"/>
      <c r="I35" s="481"/>
      <c r="J35" s="481"/>
      <c r="K35" s="481"/>
      <c r="L35" s="481"/>
      <c r="M35" s="481"/>
      <c r="N35" s="481"/>
      <c r="O35" s="482"/>
      <c r="P35" s="54"/>
    </row>
    <row r="36" spans="1:18" ht="70.5" customHeight="1" x14ac:dyDescent="0.2">
      <c r="A36" s="365" t="s">
        <v>31</v>
      </c>
      <c r="B36" s="454" t="s">
        <v>134</v>
      </c>
      <c r="C36" s="397" t="s">
        <v>56</v>
      </c>
      <c r="D36" s="99" t="s">
        <v>74</v>
      </c>
      <c r="E36" s="99" t="s">
        <v>75</v>
      </c>
      <c r="F36" s="103" t="s">
        <v>77</v>
      </c>
      <c r="G36" s="104">
        <v>3</v>
      </c>
      <c r="H36" s="29" t="s">
        <v>250</v>
      </c>
      <c r="I36" s="99" t="s">
        <v>80</v>
      </c>
      <c r="J36" s="178">
        <v>60000</v>
      </c>
      <c r="K36" s="11">
        <v>0</v>
      </c>
      <c r="L36" s="11">
        <v>0</v>
      </c>
      <c r="M36" s="11"/>
      <c r="N36" s="11"/>
      <c r="O36" s="11">
        <f>SUM(J36:M36)</f>
        <v>60000</v>
      </c>
      <c r="P36" s="460" t="s">
        <v>103</v>
      </c>
      <c r="Q36" s="22" t="s">
        <v>102</v>
      </c>
    </row>
    <row r="37" spans="1:18" ht="75" customHeight="1" x14ac:dyDescent="0.2">
      <c r="A37" s="447"/>
      <c r="B37" s="471"/>
      <c r="C37" s="446"/>
      <c r="D37" s="99" t="s">
        <v>74</v>
      </c>
      <c r="E37" s="99" t="s">
        <v>27</v>
      </c>
      <c r="F37" s="103" t="s">
        <v>77</v>
      </c>
      <c r="G37" s="104">
        <v>3</v>
      </c>
      <c r="H37" s="29" t="s">
        <v>250</v>
      </c>
      <c r="I37" s="99" t="s">
        <v>80</v>
      </c>
      <c r="J37" s="178">
        <f>90000+60000-50000</f>
        <v>100000</v>
      </c>
      <c r="K37" s="11">
        <f>400000+37559</f>
        <v>437559</v>
      </c>
      <c r="L37" s="11">
        <v>0</v>
      </c>
      <c r="M37" s="11"/>
      <c r="N37" s="11"/>
      <c r="O37" s="11">
        <f>SUM(J37:M37)</f>
        <v>537559</v>
      </c>
      <c r="P37" s="461"/>
      <c r="Q37" s="183" t="s">
        <v>180</v>
      </c>
    </row>
    <row r="38" spans="1:18" ht="141.75" customHeight="1" x14ac:dyDescent="0.2">
      <c r="A38" s="2" t="s">
        <v>39</v>
      </c>
      <c r="B38" s="4" t="s">
        <v>61</v>
      </c>
      <c r="C38" s="3" t="s">
        <v>56</v>
      </c>
      <c r="D38" s="2"/>
      <c r="E38" s="2"/>
      <c r="F38" s="28"/>
      <c r="G38" s="26"/>
      <c r="H38" s="29"/>
      <c r="I38" s="2"/>
      <c r="J38" s="178"/>
      <c r="K38" s="11"/>
      <c r="L38" s="11"/>
      <c r="M38" s="11"/>
      <c r="N38" s="11"/>
      <c r="O38" s="11">
        <f t="shared" ref="O38:O39" si="4">SUM(J38:L38)</f>
        <v>0</v>
      </c>
      <c r="P38" s="34" t="s">
        <v>89</v>
      </c>
      <c r="Q38" s="22">
        <f>J38*0.2</f>
        <v>0</v>
      </c>
      <c r="R38" s="22">
        <f>K38*0.2</f>
        <v>0</v>
      </c>
    </row>
    <row r="39" spans="1:18" ht="87" customHeight="1" x14ac:dyDescent="0.2">
      <c r="A39" s="2" t="s">
        <v>40</v>
      </c>
      <c r="B39" s="4" t="s">
        <v>62</v>
      </c>
      <c r="C39" s="3" t="s">
        <v>56</v>
      </c>
      <c r="D39" s="2"/>
      <c r="E39" s="2"/>
      <c r="F39" s="28"/>
      <c r="G39" s="26"/>
      <c r="H39" s="29"/>
      <c r="I39" s="2"/>
      <c r="J39" s="178"/>
      <c r="K39" s="11"/>
      <c r="L39" s="11"/>
      <c r="M39" s="11"/>
      <c r="N39" s="11"/>
      <c r="O39" s="11">
        <f t="shared" si="4"/>
        <v>0</v>
      </c>
      <c r="P39" s="31"/>
      <c r="Q39" s="22">
        <f>J39*0.2</f>
        <v>0</v>
      </c>
      <c r="R39" s="22">
        <f>K39*0.2</f>
        <v>0</v>
      </c>
    </row>
    <row r="40" spans="1:18" ht="46.15" customHeight="1" x14ac:dyDescent="0.2">
      <c r="A40" s="365" t="s">
        <v>41</v>
      </c>
      <c r="B40" s="458" t="s">
        <v>135</v>
      </c>
      <c r="C40" s="3" t="s">
        <v>56</v>
      </c>
      <c r="D40" s="99" t="s">
        <v>74</v>
      </c>
      <c r="E40" s="99" t="s">
        <v>27</v>
      </c>
      <c r="F40" s="103" t="s">
        <v>77</v>
      </c>
      <c r="G40" s="104">
        <v>3</v>
      </c>
      <c r="H40" s="29" t="s">
        <v>251</v>
      </c>
      <c r="I40" s="99" t="s">
        <v>28</v>
      </c>
      <c r="J40" s="177">
        <f>200000+20000+58031.49</f>
        <v>278031.49</v>
      </c>
      <c r="K40" s="11">
        <v>0</v>
      </c>
      <c r="L40" s="11">
        <v>0</v>
      </c>
      <c r="M40" s="11"/>
      <c r="N40" s="11"/>
      <c r="O40" s="129">
        <f t="shared" ref="O40:O49" si="5">SUM(J40:M40)</f>
        <v>278031.49</v>
      </c>
      <c r="P40" s="117" t="s">
        <v>145</v>
      </c>
      <c r="Q40" s="22" t="s">
        <v>98</v>
      </c>
    </row>
    <row r="41" spans="1:18" ht="49.15" customHeight="1" x14ac:dyDescent="0.2">
      <c r="A41" s="447"/>
      <c r="B41" s="459"/>
      <c r="C41" s="3" t="s">
        <v>56</v>
      </c>
      <c r="D41" s="99" t="s">
        <v>74</v>
      </c>
      <c r="E41" s="99" t="s">
        <v>75</v>
      </c>
      <c r="F41" s="103" t="s">
        <v>77</v>
      </c>
      <c r="G41" s="104">
        <v>3</v>
      </c>
      <c r="H41" s="29" t="s">
        <v>251</v>
      </c>
      <c r="I41" s="99" t="s">
        <v>80</v>
      </c>
      <c r="J41" s="177"/>
      <c r="K41" s="11">
        <v>300000</v>
      </c>
      <c r="L41" s="11">
        <v>0</v>
      </c>
      <c r="M41" s="11">
        <v>0</v>
      </c>
      <c r="N41" s="11"/>
      <c r="O41" s="129">
        <f>SUM(J41:M41)</f>
        <v>300000</v>
      </c>
      <c r="P41" s="83" t="s">
        <v>106</v>
      </c>
    </row>
    <row r="42" spans="1:18" ht="66.75" customHeight="1" x14ac:dyDescent="0.2">
      <c r="A42" s="366"/>
      <c r="B42" s="459"/>
      <c r="C42" s="3" t="s">
        <v>56</v>
      </c>
      <c r="D42" s="99" t="s">
        <v>74</v>
      </c>
      <c r="E42" s="99" t="s">
        <v>27</v>
      </c>
      <c r="F42" s="103" t="s">
        <v>77</v>
      </c>
      <c r="G42" s="104">
        <v>3</v>
      </c>
      <c r="H42" s="29" t="s">
        <v>251</v>
      </c>
      <c r="I42" s="99" t="s">
        <v>80</v>
      </c>
      <c r="J42" s="177">
        <f>700000+300000+163915.45+50000</f>
        <v>1213915.45</v>
      </c>
      <c r="K42" s="220">
        <f>329682.99+1000000+133252.22</f>
        <v>1462935.21</v>
      </c>
      <c r="L42" s="11">
        <v>0</v>
      </c>
      <c r="M42" s="11">
        <v>0</v>
      </c>
      <c r="N42" s="11"/>
      <c r="O42" s="129">
        <f>SUM(J42:M42)</f>
        <v>2676850.66</v>
      </c>
      <c r="P42" s="83" t="s">
        <v>106</v>
      </c>
      <c r="Q42" s="219" t="s">
        <v>183</v>
      </c>
    </row>
    <row r="43" spans="1:18" s="172" customFormat="1" ht="66.75" customHeight="1" x14ac:dyDescent="0.2">
      <c r="A43" s="173"/>
      <c r="B43" s="459"/>
      <c r="C43" s="3" t="s">
        <v>56</v>
      </c>
      <c r="D43" s="99" t="s">
        <v>74</v>
      </c>
      <c r="E43" s="99" t="s">
        <v>27</v>
      </c>
      <c r="F43" s="103" t="s">
        <v>77</v>
      </c>
      <c r="G43" s="104">
        <v>3</v>
      </c>
      <c r="H43" s="29" t="s">
        <v>251</v>
      </c>
      <c r="I43" s="99" t="s">
        <v>176</v>
      </c>
      <c r="J43" s="170"/>
      <c r="K43" s="129">
        <f>57251.54</f>
        <v>57251.54</v>
      </c>
      <c r="L43" s="11"/>
      <c r="M43" s="11"/>
      <c r="N43" s="11"/>
      <c r="O43" s="129">
        <f t="shared" ref="O43:O44" si="6">SUM(J43:M43)</f>
        <v>57251.54</v>
      </c>
      <c r="P43" s="83" t="s">
        <v>106</v>
      </c>
      <c r="Q43" s="273" t="s">
        <v>230</v>
      </c>
    </row>
    <row r="44" spans="1:18" s="172" customFormat="1" ht="66.75" customHeight="1" x14ac:dyDescent="0.2">
      <c r="A44" s="173"/>
      <c r="B44" s="483"/>
      <c r="C44" s="3" t="s">
        <v>56</v>
      </c>
      <c r="D44" s="99" t="s">
        <v>74</v>
      </c>
      <c r="E44" s="99" t="s">
        <v>27</v>
      </c>
      <c r="F44" s="103" t="s">
        <v>77</v>
      </c>
      <c r="G44" s="104">
        <v>3</v>
      </c>
      <c r="H44" s="29" t="s">
        <v>251</v>
      </c>
      <c r="I44" s="99" t="s">
        <v>28</v>
      </c>
      <c r="J44" s="170"/>
      <c r="K44" s="129">
        <f>100784.28+2467.26-42136.11-15115.43</f>
        <v>45999.999999999993</v>
      </c>
      <c r="L44" s="11"/>
      <c r="M44" s="11"/>
      <c r="N44" s="11"/>
      <c r="O44" s="129">
        <f t="shared" si="6"/>
        <v>45999.999999999993</v>
      </c>
      <c r="P44" s="83" t="s">
        <v>106</v>
      </c>
    </row>
    <row r="45" spans="1:18" ht="78.75" customHeight="1" x14ac:dyDescent="0.2">
      <c r="A45" s="2" t="s">
        <v>64</v>
      </c>
      <c r="B45" s="94" t="s">
        <v>134</v>
      </c>
      <c r="C45" s="3" t="s">
        <v>56</v>
      </c>
      <c r="D45" s="99" t="s">
        <v>74</v>
      </c>
      <c r="E45" s="99" t="s">
        <v>27</v>
      </c>
      <c r="F45" s="103" t="s">
        <v>77</v>
      </c>
      <c r="G45" s="104">
        <v>3</v>
      </c>
      <c r="H45" s="29" t="s">
        <v>250</v>
      </c>
      <c r="I45" s="99" t="s">
        <v>28</v>
      </c>
      <c r="J45" s="178">
        <v>150000</v>
      </c>
      <c r="K45" s="11">
        <v>0</v>
      </c>
      <c r="L45" s="11">
        <v>0</v>
      </c>
      <c r="M45" s="11"/>
      <c r="N45" s="11"/>
      <c r="O45" s="11">
        <f t="shared" si="5"/>
        <v>150000</v>
      </c>
      <c r="P45" s="34" t="s">
        <v>108</v>
      </c>
      <c r="Q45" s="22" t="s">
        <v>98</v>
      </c>
    </row>
    <row r="46" spans="1:18" ht="81.75" customHeight="1" x14ac:dyDescent="0.2">
      <c r="A46" s="2" t="s">
        <v>42</v>
      </c>
      <c r="B46" s="94" t="s">
        <v>116</v>
      </c>
      <c r="C46" s="3" t="s">
        <v>56</v>
      </c>
      <c r="D46" s="99" t="s">
        <v>74</v>
      </c>
      <c r="E46" s="99" t="s">
        <v>27</v>
      </c>
      <c r="F46" s="103" t="s">
        <v>77</v>
      </c>
      <c r="G46" s="104">
        <v>3</v>
      </c>
      <c r="H46" s="29" t="s">
        <v>272</v>
      </c>
      <c r="I46" s="99" t="s">
        <v>80</v>
      </c>
      <c r="J46" s="178">
        <v>90000</v>
      </c>
      <c r="K46" s="11">
        <v>0</v>
      </c>
      <c r="L46" s="11">
        <v>0</v>
      </c>
      <c r="M46" s="11"/>
      <c r="N46" s="11"/>
      <c r="O46" s="11">
        <f t="shared" si="5"/>
        <v>90000</v>
      </c>
      <c r="P46" s="31" t="s">
        <v>107</v>
      </c>
      <c r="Q46" s="22" t="s">
        <v>0</v>
      </c>
    </row>
    <row r="47" spans="1:18" ht="132" customHeight="1" x14ac:dyDescent="0.2">
      <c r="A47" s="2" t="s">
        <v>69</v>
      </c>
      <c r="B47" s="4" t="s">
        <v>65</v>
      </c>
      <c r="C47" s="3" t="s">
        <v>56</v>
      </c>
      <c r="D47" s="2" t="s">
        <v>74</v>
      </c>
      <c r="E47" s="2" t="s">
        <v>27</v>
      </c>
      <c r="F47" s="28" t="s">
        <v>77</v>
      </c>
      <c r="G47" s="26">
        <v>3</v>
      </c>
      <c r="H47" s="29" t="s">
        <v>273</v>
      </c>
      <c r="I47" s="2" t="s">
        <v>80</v>
      </c>
      <c r="J47" s="178">
        <f>100000</f>
        <v>100000</v>
      </c>
      <c r="K47" s="11" t="s">
        <v>146</v>
      </c>
      <c r="L47" s="11" t="s">
        <v>146</v>
      </c>
      <c r="M47" s="11"/>
      <c r="N47" s="11"/>
      <c r="O47" s="11">
        <f t="shared" si="5"/>
        <v>100000</v>
      </c>
      <c r="P47" s="31" t="s">
        <v>90</v>
      </c>
    </row>
    <row r="48" spans="1:18" ht="133.5" customHeight="1" x14ac:dyDescent="0.2">
      <c r="A48" s="2" t="s">
        <v>70</v>
      </c>
      <c r="B48" s="39" t="s">
        <v>63</v>
      </c>
      <c r="C48" s="3"/>
      <c r="D48" s="2"/>
      <c r="E48" s="2"/>
      <c r="F48" s="28"/>
      <c r="G48" s="26"/>
      <c r="H48" s="29"/>
      <c r="I48" s="2"/>
      <c r="J48" s="178"/>
      <c r="K48" s="11"/>
      <c r="L48" s="11"/>
      <c r="M48" s="11"/>
      <c r="N48" s="11"/>
      <c r="O48" s="11">
        <f t="shared" si="5"/>
        <v>0</v>
      </c>
      <c r="P48" s="31" t="s">
        <v>94</v>
      </c>
    </row>
    <row r="49" spans="1:17" ht="221.25" customHeight="1" x14ac:dyDescent="0.2">
      <c r="A49" s="126" t="s">
        <v>148</v>
      </c>
      <c r="B49" s="128" t="s">
        <v>149</v>
      </c>
      <c r="C49" s="3" t="s">
        <v>56</v>
      </c>
      <c r="D49" s="126" t="s">
        <v>74</v>
      </c>
      <c r="E49" s="126" t="s">
        <v>27</v>
      </c>
      <c r="F49" s="28" t="s">
        <v>77</v>
      </c>
      <c r="G49" s="127">
        <v>3</v>
      </c>
      <c r="H49" s="29" t="s">
        <v>274</v>
      </c>
      <c r="I49" s="126" t="s">
        <v>28</v>
      </c>
      <c r="J49" s="178">
        <f>400000</f>
        <v>400000</v>
      </c>
      <c r="K49" s="11" t="s">
        <v>146</v>
      </c>
      <c r="L49" s="11" t="s">
        <v>146</v>
      </c>
      <c r="M49" s="11"/>
      <c r="N49" s="11"/>
      <c r="O49" s="11">
        <f t="shared" si="5"/>
        <v>400000</v>
      </c>
      <c r="P49" s="31" t="s">
        <v>90</v>
      </c>
    </row>
    <row r="50" spans="1:17" s="276" customFormat="1" ht="221.25" customHeight="1" x14ac:dyDescent="0.2">
      <c r="A50" s="274" t="s">
        <v>232</v>
      </c>
      <c r="B50" s="277" t="s">
        <v>235</v>
      </c>
      <c r="C50" s="3" t="s">
        <v>56</v>
      </c>
      <c r="D50" s="274" t="s">
        <v>74</v>
      </c>
      <c r="E50" s="274" t="s">
        <v>27</v>
      </c>
      <c r="F50" s="28" t="s">
        <v>77</v>
      </c>
      <c r="G50" s="275">
        <v>3</v>
      </c>
      <c r="H50" s="29" t="s">
        <v>275</v>
      </c>
      <c r="I50" s="274" t="s">
        <v>28</v>
      </c>
      <c r="J50" s="178"/>
      <c r="K50" s="220">
        <f>159831.56+231639.69</f>
        <v>391471.25</v>
      </c>
      <c r="L50" s="11"/>
      <c r="M50" s="11"/>
      <c r="N50" s="11"/>
      <c r="O50" s="220">
        <f>K50+L50+M50</f>
        <v>391471.25</v>
      </c>
      <c r="P50" s="31"/>
      <c r="Q50" s="276" t="s">
        <v>236</v>
      </c>
    </row>
    <row r="51" spans="1:17" s="276" customFormat="1" ht="221.25" customHeight="1" x14ac:dyDescent="0.2">
      <c r="A51" s="274" t="s">
        <v>234</v>
      </c>
      <c r="B51" s="277" t="s">
        <v>235</v>
      </c>
      <c r="C51" s="3" t="s">
        <v>56</v>
      </c>
      <c r="D51" s="274" t="s">
        <v>74</v>
      </c>
      <c r="E51" s="274" t="s">
        <v>27</v>
      </c>
      <c r="F51" s="28" t="s">
        <v>77</v>
      </c>
      <c r="G51" s="275">
        <v>3</v>
      </c>
      <c r="H51" s="29" t="s">
        <v>275</v>
      </c>
      <c r="I51" s="274" t="s">
        <v>176</v>
      </c>
      <c r="J51" s="178"/>
      <c r="K51" s="11">
        <v>62503.7</v>
      </c>
      <c r="L51" s="11"/>
      <c r="M51" s="11"/>
      <c r="N51" s="11"/>
      <c r="O51" s="11">
        <f>K51+L51+M51</f>
        <v>62503.7</v>
      </c>
      <c r="P51" s="31"/>
      <c r="Q51" s="276" t="s">
        <v>236</v>
      </c>
    </row>
    <row r="52" spans="1:17" s="276" customFormat="1" ht="221.25" customHeight="1" x14ac:dyDescent="0.2">
      <c r="A52" s="274" t="s">
        <v>233</v>
      </c>
      <c r="B52" s="277" t="s">
        <v>235</v>
      </c>
      <c r="C52" s="3" t="s">
        <v>56</v>
      </c>
      <c r="D52" s="274" t="s">
        <v>74</v>
      </c>
      <c r="E52" s="274" t="s">
        <v>27</v>
      </c>
      <c r="F52" s="28" t="s">
        <v>77</v>
      </c>
      <c r="G52" s="275">
        <v>3</v>
      </c>
      <c r="H52" s="29" t="s">
        <v>275</v>
      </c>
      <c r="I52" s="274" t="s">
        <v>80</v>
      </c>
      <c r="J52" s="178"/>
      <c r="K52" s="220">
        <f>43597.2+115370.63</f>
        <v>158967.83000000002</v>
      </c>
      <c r="L52" s="11"/>
      <c r="M52" s="11"/>
      <c r="N52" s="11"/>
      <c r="O52" s="220">
        <f>K52+L52+M52</f>
        <v>158967.83000000002</v>
      </c>
      <c r="P52" s="31"/>
      <c r="Q52" s="276" t="s">
        <v>237</v>
      </c>
    </row>
    <row r="53" spans="1:17" ht="28.5" customHeight="1" x14ac:dyDescent="0.2">
      <c r="A53" s="45"/>
      <c r="B53" s="46" t="s">
        <v>23</v>
      </c>
      <c r="C53" s="47"/>
      <c r="D53" s="46"/>
      <c r="E53" s="46"/>
      <c r="F53" s="48"/>
      <c r="G53" s="49"/>
      <c r="H53" s="50"/>
      <c r="I53" s="46"/>
      <c r="J53" s="161">
        <f>SUM(J36:J49)</f>
        <v>2391946.94</v>
      </c>
      <c r="K53" s="161">
        <f>SUM(K36:K52)</f>
        <v>2916688.5300000003</v>
      </c>
      <c r="L53" s="161">
        <f t="shared" ref="L53:N53" si="7">SUM(L36:L52)</f>
        <v>0</v>
      </c>
      <c r="M53" s="161">
        <f t="shared" si="7"/>
        <v>0</v>
      </c>
      <c r="N53" s="161">
        <f t="shared" si="7"/>
        <v>0</v>
      </c>
      <c r="O53" s="161">
        <f>J53+K53+L53+M53</f>
        <v>5308635.4700000007</v>
      </c>
      <c r="P53" s="47"/>
      <c r="Q53" s="21"/>
    </row>
    <row r="54" spans="1:17" ht="24" customHeight="1" x14ac:dyDescent="0.2">
      <c r="A54" s="55" t="s">
        <v>67</v>
      </c>
      <c r="B54" s="480" t="s">
        <v>227</v>
      </c>
      <c r="C54" s="481"/>
      <c r="D54" s="481"/>
      <c r="E54" s="481"/>
      <c r="F54" s="481"/>
      <c r="G54" s="481"/>
      <c r="H54" s="481"/>
      <c r="I54" s="481"/>
      <c r="J54" s="481"/>
      <c r="K54" s="481"/>
      <c r="L54" s="481"/>
      <c r="M54" s="481"/>
      <c r="N54" s="481"/>
      <c r="O54" s="482"/>
      <c r="P54" s="56"/>
    </row>
    <row r="55" spans="1:17" ht="15.75" customHeight="1" x14ac:dyDescent="0.25">
      <c r="A55" s="107" t="s">
        <v>43</v>
      </c>
      <c r="B55" s="454" t="s">
        <v>66</v>
      </c>
      <c r="C55" s="5" t="s">
        <v>56</v>
      </c>
      <c r="D55" s="2" t="s">
        <v>74</v>
      </c>
      <c r="E55" s="2" t="s">
        <v>26</v>
      </c>
      <c r="F55" s="28" t="s">
        <v>77</v>
      </c>
      <c r="G55" s="26">
        <v>3</v>
      </c>
      <c r="H55" s="29" t="s">
        <v>249</v>
      </c>
      <c r="I55" s="2" t="s">
        <v>45</v>
      </c>
      <c r="J55" s="179">
        <v>630921.29</v>
      </c>
      <c r="K55" s="71">
        <f>852246.07-7240.07+6632.78</f>
        <v>851638.78</v>
      </c>
      <c r="L55" s="71">
        <v>851127.22</v>
      </c>
      <c r="M55" s="71">
        <v>851127.22</v>
      </c>
      <c r="N55" s="71">
        <v>851127.22</v>
      </c>
      <c r="O55" s="71">
        <f>SUM(J55:N55)</f>
        <v>4035941.7299999995</v>
      </c>
      <c r="P55" s="460"/>
      <c r="Q55" s="33" t="s">
        <v>182</v>
      </c>
    </row>
    <row r="56" spans="1:17" s="307" customFormat="1" ht="15.75" customHeight="1" x14ac:dyDescent="0.25">
      <c r="A56" s="107" t="s">
        <v>43</v>
      </c>
      <c r="B56" s="471"/>
      <c r="C56" s="308" t="s">
        <v>56</v>
      </c>
      <c r="D56" s="305" t="s">
        <v>74</v>
      </c>
      <c r="E56" s="305" t="s">
        <v>26</v>
      </c>
      <c r="F56" s="28" t="s">
        <v>77</v>
      </c>
      <c r="G56" s="306">
        <v>3</v>
      </c>
      <c r="H56" s="297" t="s">
        <v>280</v>
      </c>
      <c r="I56" s="305" t="s">
        <v>45</v>
      </c>
      <c r="J56" s="179">
        <v>192955</v>
      </c>
      <c r="K56" s="71">
        <f>255580.8+23928.07</f>
        <v>279508.87</v>
      </c>
      <c r="L56" s="71">
        <v>258552.31</v>
      </c>
      <c r="M56" s="71">
        <v>258552.31</v>
      </c>
      <c r="N56" s="71">
        <v>258552.31</v>
      </c>
      <c r="O56" s="71">
        <f>SUM(J56:N56)</f>
        <v>1248120.8</v>
      </c>
      <c r="P56" s="461"/>
      <c r="Q56" s="33" t="s">
        <v>182</v>
      </c>
    </row>
    <row r="57" spans="1:17" s="291" customFormat="1" ht="15.75" customHeight="1" x14ac:dyDescent="0.25">
      <c r="A57" s="108"/>
      <c r="B57" s="471"/>
      <c r="C57" s="296" t="s">
        <v>56</v>
      </c>
      <c r="D57" s="294" t="s">
        <v>74</v>
      </c>
      <c r="E57" s="29" t="s">
        <v>26</v>
      </c>
      <c r="F57" s="61" t="s">
        <v>77</v>
      </c>
      <c r="G57" s="290">
        <v>3</v>
      </c>
      <c r="H57" s="297" t="s">
        <v>249</v>
      </c>
      <c r="I57" s="289" t="s">
        <v>276</v>
      </c>
      <c r="J57" s="179">
        <v>190538.23</v>
      </c>
      <c r="K57" s="71">
        <f>257378.31-2186.51+1972.91</f>
        <v>257164.71</v>
      </c>
      <c r="L57" s="71">
        <v>257040.42</v>
      </c>
      <c r="M57" s="71">
        <v>257040.42</v>
      </c>
      <c r="N57" s="71">
        <v>257040.42</v>
      </c>
      <c r="O57" s="71">
        <f>SUM(J57:N57)</f>
        <v>1218824.2</v>
      </c>
      <c r="P57" s="461"/>
      <c r="Q57" s="33"/>
    </row>
    <row r="58" spans="1:17" s="307" customFormat="1" ht="15.75" customHeight="1" x14ac:dyDescent="0.25">
      <c r="A58" s="108"/>
      <c r="B58" s="471"/>
      <c r="C58" s="308" t="s">
        <v>56</v>
      </c>
      <c r="D58" s="305" t="s">
        <v>74</v>
      </c>
      <c r="E58" s="29" t="s">
        <v>26</v>
      </c>
      <c r="F58" s="61" t="s">
        <v>77</v>
      </c>
      <c r="G58" s="306">
        <v>3</v>
      </c>
      <c r="H58" s="297" t="s">
        <v>280</v>
      </c>
      <c r="I58" s="305" t="s">
        <v>276</v>
      </c>
      <c r="J58" s="179">
        <v>58272.41</v>
      </c>
      <c r="K58" s="71">
        <f>77185.4+7226.29</f>
        <v>84411.689999999988</v>
      </c>
      <c r="L58" s="71">
        <v>78082.8</v>
      </c>
      <c r="M58" s="71">
        <v>78082.8</v>
      </c>
      <c r="N58" s="71">
        <v>78082.8</v>
      </c>
      <c r="O58" s="71">
        <f>SUM(J58:N58)</f>
        <v>376932.49999999994</v>
      </c>
      <c r="P58" s="461"/>
      <c r="Q58" s="33"/>
    </row>
    <row r="59" spans="1:17" x14ac:dyDescent="0.25">
      <c r="A59" s="108"/>
      <c r="B59" s="471"/>
      <c r="C59" s="5" t="s">
        <v>56</v>
      </c>
      <c r="D59" s="62" t="s">
        <v>74</v>
      </c>
      <c r="E59" s="63" t="s">
        <v>26</v>
      </c>
      <c r="F59" s="64" t="s">
        <v>77</v>
      </c>
      <c r="G59" s="66">
        <v>3</v>
      </c>
      <c r="H59" s="29" t="s">
        <v>249</v>
      </c>
      <c r="I59" s="2" t="s">
        <v>124</v>
      </c>
      <c r="J59" s="179">
        <f>7200-3200</f>
        <v>4000</v>
      </c>
      <c r="K59" s="71">
        <v>2484.59</v>
      </c>
      <c r="L59" s="71">
        <f>780+23583+574.6</f>
        <v>24937.599999999999</v>
      </c>
      <c r="M59" s="71">
        <f>780</f>
        <v>780</v>
      </c>
      <c r="N59" s="71">
        <f>780</f>
        <v>780</v>
      </c>
      <c r="O59" s="71">
        <f t="shared" ref="O59:O62" si="8">SUM(J59:N59)</f>
        <v>32982.19</v>
      </c>
      <c r="P59" s="461"/>
      <c r="Q59" s="33"/>
    </row>
    <row r="60" spans="1:17" x14ac:dyDescent="0.25">
      <c r="A60" s="108"/>
      <c r="B60" s="471"/>
      <c r="C60" s="5" t="s">
        <v>56</v>
      </c>
      <c r="D60" s="62" t="s">
        <v>74</v>
      </c>
      <c r="E60" s="63" t="s">
        <v>26</v>
      </c>
      <c r="F60" s="64" t="s">
        <v>77</v>
      </c>
      <c r="G60" s="66">
        <v>3</v>
      </c>
      <c r="H60" s="29" t="s">
        <v>249</v>
      </c>
      <c r="I60" s="63" t="s">
        <v>28</v>
      </c>
      <c r="J60" s="179">
        <f>290346.4+3200-58031.49</f>
        <v>235514.91000000003</v>
      </c>
      <c r="K60" s="71">
        <f>323459.03+27100-878.56-2484.59-1000+20000-11779.44</f>
        <v>354416.44</v>
      </c>
      <c r="L60" s="71">
        <f>347279.03-23583-574.6-20000</f>
        <v>303121.43000000005</v>
      </c>
      <c r="M60" s="71">
        <v>347279.03</v>
      </c>
      <c r="N60" s="71">
        <v>347279.03</v>
      </c>
      <c r="O60" s="71">
        <f t="shared" si="8"/>
        <v>1587610.84</v>
      </c>
      <c r="P60" s="462"/>
      <c r="Q60" s="33"/>
    </row>
    <row r="61" spans="1:17" outlineLevel="1" x14ac:dyDescent="0.25">
      <c r="A61" s="108"/>
      <c r="B61" s="471"/>
      <c r="C61" s="105" t="s">
        <v>56</v>
      </c>
      <c r="D61" s="62" t="s">
        <v>74</v>
      </c>
      <c r="E61" s="63" t="s">
        <v>26</v>
      </c>
      <c r="F61" s="64" t="s">
        <v>77</v>
      </c>
      <c r="G61" s="66">
        <v>3</v>
      </c>
      <c r="H61" s="29" t="s">
        <v>249</v>
      </c>
      <c r="I61" s="63" t="s">
        <v>125</v>
      </c>
      <c r="J61" s="179">
        <v>4500</v>
      </c>
      <c r="K61" s="71">
        <f>878.56+1000</f>
        <v>1878.56</v>
      </c>
      <c r="L61" s="71">
        <f>1000</f>
        <v>1000</v>
      </c>
      <c r="M61" s="71">
        <f>1000</f>
        <v>1000</v>
      </c>
      <c r="N61" s="71">
        <f>1000</f>
        <v>1000</v>
      </c>
      <c r="O61" s="71">
        <f t="shared" si="8"/>
        <v>9378.56</v>
      </c>
      <c r="P61" s="106"/>
      <c r="Q61" s="33" t="s">
        <v>231</v>
      </c>
    </row>
    <row r="62" spans="1:17" outlineLevel="1" x14ac:dyDescent="0.25">
      <c r="A62" s="109"/>
      <c r="B62" s="455"/>
      <c r="C62" s="105" t="s">
        <v>56</v>
      </c>
      <c r="D62" s="62" t="s">
        <v>74</v>
      </c>
      <c r="E62" s="63" t="s">
        <v>26</v>
      </c>
      <c r="F62" s="64" t="s">
        <v>77</v>
      </c>
      <c r="G62" s="66">
        <v>3</v>
      </c>
      <c r="H62" s="63" t="s">
        <v>275</v>
      </c>
      <c r="I62" s="279" t="s">
        <v>124</v>
      </c>
      <c r="J62" s="71"/>
      <c r="K62" s="71">
        <f>8000+2416</f>
        <v>10416</v>
      </c>
      <c r="L62" s="71"/>
      <c r="M62" s="71"/>
      <c r="N62" s="71"/>
      <c r="O62" s="71">
        <f t="shared" si="8"/>
        <v>10416</v>
      </c>
      <c r="P62" s="106"/>
      <c r="Q62" s="33"/>
    </row>
    <row r="63" spans="1:17" ht="31.5" customHeight="1" x14ac:dyDescent="0.2">
      <c r="A63" s="45"/>
      <c r="B63" s="46" t="s">
        <v>44</v>
      </c>
      <c r="C63" s="47"/>
      <c r="D63" s="46"/>
      <c r="E63" s="46"/>
      <c r="F63" s="48"/>
      <c r="G63" s="49"/>
      <c r="H63" s="50"/>
      <c r="I63" s="46"/>
      <c r="J63" s="72">
        <f>SUM(J55:J62)</f>
        <v>1316701.8399999999</v>
      </c>
      <c r="K63" s="72">
        <f>SUM(K55:K62)</f>
        <v>1841919.64</v>
      </c>
      <c r="L63" s="72">
        <f>SUM(L55:L62)</f>
        <v>1773861.7800000003</v>
      </c>
      <c r="M63" s="72">
        <f>SUM(M55:M62)</f>
        <v>1793861.78</v>
      </c>
      <c r="N63" s="72">
        <f>SUM(N55:N62)</f>
        <v>1793861.78</v>
      </c>
      <c r="O63" s="72">
        <f>SUM(J63:N63)</f>
        <v>8520206.8200000003</v>
      </c>
      <c r="P63" s="47"/>
      <c r="Q63" s="21"/>
    </row>
    <row r="64" spans="1:17" ht="33" customHeight="1" x14ac:dyDescent="0.2">
      <c r="A64" s="40"/>
      <c r="B64" s="41" t="s">
        <v>24</v>
      </c>
      <c r="C64" s="41"/>
      <c r="D64" s="41"/>
      <c r="E64" s="41"/>
      <c r="F64" s="42"/>
      <c r="G64" s="43"/>
      <c r="H64" s="44"/>
      <c r="I64" s="41"/>
      <c r="J64" s="257">
        <f t="shared" ref="J64:O64" si="9">J22+J25+J34+J53+J63</f>
        <v>13644150.699999999</v>
      </c>
      <c r="K64" s="258">
        <f t="shared" si="9"/>
        <v>15354612.059999999</v>
      </c>
      <c r="L64" s="258">
        <f>L22+L25+L34+L53+L63</f>
        <v>12616644.059999999</v>
      </c>
      <c r="M64" s="258">
        <f t="shared" si="9"/>
        <v>12057989.939999999</v>
      </c>
      <c r="N64" s="258">
        <f t="shared" si="9"/>
        <v>12057989.939999999</v>
      </c>
      <c r="O64" s="258">
        <f t="shared" si="9"/>
        <v>65731386.699999996</v>
      </c>
      <c r="P64" s="41"/>
      <c r="Q64" s="21"/>
    </row>
    <row r="65" spans="1:17" x14ac:dyDescent="0.2">
      <c r="A65" s="2"/>
      <c r="B65" s="4" t="s">
        <v>25</v>
      </c>
      <c r="C65" s="4"/>
      <c r="D65" s="4"/>
      <c r="E65" s="4"/>
      <c r="F65" s="28"/>
      <c r="G65" s="26"/>
      <c r="H65" s="27"/>
      <c r="I65" s="4"/>
      <c r="J65" s="119"/>
      <c r="K65" s="71"/>
      <c r="L65" s="71"/>
      <c r="M65" s="71"/>
      <c r="N65" s="71"/>
      <c r="O65" s="71"/>
      <c r="P65" s="4"/>
    </row>
    <row r="66" spans="1:17" s="357" customFormat="1" x14ac:dyDescent="0.2">
      <c r="A66" s="356"/>
      <c r="B66" s="363" t="s">
        <v>167</v>
      </c>
      <c r="C66" s="363"/>
      <c r="D66" s="363"/>
      <c r="E66" s="363"/>
      <c r="F66" s="28"/>
      <c r="G66" s="354"/>
      <c r="H66" s="355"/>
      <c r="I66" s="363"/>
      <c r="J66" s="119"/>
      <c r="K66" s="71"/>
      <c r="L66" s="71">
        <f>L20</f>
        <v>35360</v>
      </c>
      <c r="M66" s="71"/>
      <c r="N66" s="71"/>
      <c r="O66" s="71">
        <f>SUM(J66:M66)</f>
        <v>35360</v>
      </c>
      <c r="P66" s="363"/>
    </row>
    <row r="67" spans="1:17" ht="21.75" customHeight="1" x14ac:dyDescent="0.2">
      <c r="A67" s="151"/>
      <c r="B67" s="57" t="s">
        <v>168</v>
      </c>
      <c r="C67" s="4"/>
      <c r="D67" s="4"/>
      <c r="E67" s="4"/>
      <c r="F67" s="28"/>
      <c r="G67" s="26"/>
      <c r="H67" s="27"/>
      <c r="I67" s="4"/>
      <c r="J67" s="119">
        <f>425269.2+65974.35+400000+76955.72</f>
        <v>968199.27</v>
      </c>
      <c r="K67" s="71">
        <f>K11+K13+K14+K18+K50+K51+K52+K62</f>
        <v>1262658.05</v>
      </c>
      <c r="L67" s="71">
        <f>L11+L13+L14</f>
        <v>169961.31</v>
      </c>
      <c r="M67" s="71"/>
      <c r="N67" s="71"/>
      <c r="O67" s="71">
        <f>SUM(J67:M67)</f>
        <v>2400818.6300000004</v>
      </c>
      <c r="P67" s="156"/>
    </row>
    <row r="68" spans="1:17" ht="30" customHeight="1" x14ac:dyDescent="0.2">
      <c r="A68" s="2"/>
      <c r="B68" s="4" t="s">
        <v>169</v>
      </c>
      <c r="C68" s="4"/>
      <c r="D68" s="4"/>
      <c r="E68" s="4"/>
      <c r="F68" s="28"/>
      <c r="G68" s="26"/>
      <c r="H68" s="27"/>
      <c r="I68" s="4"/>
      <c r="J68" s="119">
        <f>J64-J67</f>
        <v>12675951.43</v>
      </c>
      <c r="K68" s="119">
        <f>K64-K67</f>
        <v>14091954.009999998</v>
      </c>
      <c r="L68" s="71">
        <f>L64-L67-L66</f>
        <v>12411322.749999998</v>
      </c>
      <c r="M68" s="71">
        <f>M64</f>
        <v>12057989.939999999</v>
      </c>
      <c r="N68" s="71">
        <f>N64</f>
        <v>12057989.939999999</v>
      </c>
      <c r="O68" s="71">
        <f>SUM(J68:N68)</f>
        <v>63295208.069999993</v>
      </c>
      <c r="P68" s="4"/>
      <c r="Q68" s="21"/>
    </row>
    <row r="69" spans="1:17" s="24" customFormat="1" ht="35.25" customHeight="1" x14ac:dyDescent="0.2">
      <c r="A69" s="35"/>
    </row>
    <row r="70" spans="1:17" s="24" customFormat="1" ht="35.25" customHeight="1" x14ac:dyDescent="0.2">
      <c r="A70" s="445"/>
      <c r="B70" s="445"/>
      <c r="C70" s="445"/>
      <c r="D70" s="445"/>
      <c r="E70" s="445"/>
      <c r="F70" s="445"/>
      <c r="G70" s="445"/>
      <c r="H70" s="445"/>
      <c r="I70" s="445"/>
      <c r="J70" s="23"/>
      <c r="K70" s="23"/>
      <c r="L70" s="23"/>
      <c r="M70" s="23"/>
      <c r="N70" s="23"/>
      <c r="O70" s="23"/>
    </row>
    <row r="71" spans="1:17" s="24" customFormat="1" ht="35.25" customHeight="1" x14ac:dyDescent="0.2">
      <c r="A71" s="35"/>
    </row>
    <row r="72" spans="1:17" s="24" customFormat="1" ht="35.25" customHeight="1" x14ac:dyDescent="0.2">
      <c r="A72" s="35"/>
      <c r="J72" s="23"/>
    </row>
    <row r="73" spans="1:17" x14ac:dyDescent="0.2">
      <c r="J73" s="21"/>
      <c r="Q73" s="21"/>
    </row>
  </sheetData>
  <mergeCells count="38">
    <mergeCell ref="A70:I70"/>
    <mergeCell ref="B7:O7"/>
    <mergeCell ref="B8:O8"/>
    <mergeCell ref="B23:O23"/>
    <mergeCell ref="B36:B37"/>
    <mergeCell ref="B26:O26"/>
    <mergeCell ref="B35:O35"/>
    <mergeCell ref="B27:B28"/>
    <mergeCell ref="A40:A42"/>
    <mergeCell ref="B55:B62"/>
    <mergeCell ref="B31:B32"/>
    <mergeCell ref="A31:A32"/>
    <mergeCell ref="A36:A37"/>
    <mergeCell ref="A9:A13"/>
    <mergeCell ref="A27:A28"/>
    <mergeCell ref="A29:A30"/>
    <mergeCell ref="P55:P60"/>
    <mergeCell ref="P27:P28"/>
    <mergeCell ref="B29:B30"/>
    <mergeCell ref="P29:P30"/>
    <mergeCell ref="C36:C37"/>
    <mergeCell ref="P36:P37"/>
    <mergeCell ref="B54:O54"/>
    <mergeCell ref="B40:B44"/>
    <mergeCell ref="S18:T18"/>
    <mergeCell ref="S19:T19"/>
    <mergeCell ref="M1:P1"/>
    <mergeCell ref="S16:T16"/>
    <mergeCell ref="P9:P12"/>
    <mergeCell ref="M2:P2"/>
    <mergeCell ref="A3:P3"/>
    <mergeCell ref="A5:A6"/>
    <mergeCell ref="B5:B6"/>
    <mergeCell ref="C5:C6"/>
    <mergeCell ref="D5:I5"/>
    <mergeCell ref="J5:O5"/>
    <mergeCell ref="P5:P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60" fitToWidth="4" fitToHeight="17" orientation="landscape" r:id="rId1"/>
  <headerFooter alignWithMargins="0"/>
  <rowBreaks count="3" manualBreakCount="3">
    <brk id="13" max="14" man="1"/>
    <brk id="30" max="14" man="1"/>
    <brk id="44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0" sqref="F30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приложение 2</vt:lpstr>
      <vt:lpstr>приложение 1</vt:lpstr>
      <vt:lpstr>Приложение 3</vt:lpstr>
      <vt:lpstr>Приложение 4</vt:lpstr>
      <vt:lpstr>Лист1</vt:lpstr>
      <vt:lpstr>'приложение 1'!Заголовки_для_печати</vt:lpstr>
      <vt:lpstr>'приложение 2'!Заголовки_для_печати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RabekinaNN</cp:lastModifiedBy>
  <cp:lastPrinted>2016-09-02T01:41:41Z</cp:lastPrinted>
  <dcterms:created xsi:type="dcterms:W3CDTF">2013-07-29T03:10:57Z</dcterms:created>
  <dcterms:modified xsi:type="dcterms:W3CDTF">2016-09-15T09:58:18Z</dcterms:modified>
</cp:coreProperties>
</file>