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4"/>
  </bookViews>
  <sheets>
    <sheet name="Прил2" sheetId="9" r:id="rId1"/>
    <sheet name="Прил 1" sheetId="8" r:id="rId2"/>
    <sheet name="прил 3" sheetId="1" r:id="rId3"/>
    <sheet name="Прил 4" sheetId="6" r:id="rId4"/>
    <sheet name="ПП3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2">'прил 3'!$5:$6</definedName>
    <definedName name="_xlnm.Print_Titles" localSheetId="0">Прил2!$5:$6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4">ПП3!$A$1:$Q$78</definedName>
    <definedName name="_xlnm.Print_Area" localSheetId="1">'Прил 1'!$A$1:$P$25</definedName>
    <definedName name="_xlnm.Print_Area" localSheetId="2">'прил 3'!$A$1:$Q$51</definedName>
    <definedName name="_xlnm.Print_Area" localSheetId="3">'Прил 4'!$A$1:$Q$61</definedName>
    <definedName name="_xlnm.Print_Area" localSheetId="0">Прил2!$A$1:$R$183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O69" i="9" l="1"/>
  <c r="N69" i="9"/>
  <c r="O62" i="9"/>
  <c r="N62" i="9"/>
  <c r="O48" i="9"/>
  <c r="N48" i="9"/>
  <c r="N20" i="9"/>
  <c r="N19" i="9"/>
  <c r="O19" i="9" s="1"/>
  <c r="N16" i="6"/>
  <c r="N9" i="1"/>
  <c r="N18" i="9"/>
  <c r="O18" i="9" s="1"/>
  <c r="N11" i="1"/>
  <c r="M11" i="1"/>
  <c r="M10" i="1"/>
  <c r="N10" i="1" s="1"/>
  <c r="M9" i="1"/>
  <c r="M39" i="1"/>
  <c r="M16" i="6"/>
  <c r="M9" i="6"/>
  <c r="N9" i="6" s="1"/>
  <c r="N168" i="9"/>
  <c r="N167" i="9"/>
  <c r="N166" i="9"/>
  <c r="N165" i="9"/>
  <c r="M59" i="7"/>
  <c r="M58" i="7"/>
  <c r="M57" i="7"/>
  <c r="M56" i="7"/>
  <c r="N109" i="9"/>
  <c r="Q109" i="9" s="1"/>
  <c r="M55" i="6"/>
  <c r="P55" i="6" s="1"/>
  <c r="N96" i="9"/>
  <c r="M43" i="6"/>
  <c r="N39" i="1" l="1"/>
  <c r="N73" i="9"/>
  <c r="N66" i="9"/>
  <c r="N31" i="9"/>
  <c r="N30" i="9"/>
  <c r="M22" i="1"/>
  <c r="M21" i="1"/>
  <c r="M20" i="6"/>
  <c r="M13" i="6"/>
  <c r="N43" i="6" l="1"/>
  <c r="Q123" i="9" l="1"/>
  <c r="N123" i="9"/>
  <c r="P14" i="7"/>
  <c r="M14" i="7"/>
  <c r="Q73" i="9"/>
  <c r="Q66" i="9"/>
  <c r="Q54" i="9"/>
  <c r="N54" i="9"/>
  <c r="Q30" i="9"/>
  <c r="Q31" i="9"/>
  <c r="P22" i="1"/>
  <c r="P21" i="1"/>
  <c r="P45" i="1"/>
  <c r="M45" i="1"/>
  <c r="P20" i="6"/>
  <c r="P13" i="6"/>
  <c r="N104" i="9"/>
  <c r="N147" i="9"/>
  <c r="M38" i="7"/>
  <c r="P59" i="7"/>
  <c r="Q167" i="9"/>
  <c r="Q165" i="9"/>
  <c r="Q166" i="9"/>
  <c r="P57" i="7"/>
  <c r="Q168" i="9"/>
  <c r="N164" i="9"/>
  <c r="M55" i="7"/>
  <c r="P56" i="7"/>
  <c r="P58" i="7"/>
  <c r="M60" i="7" l="1"/>
  <c r="N169" i="9"/>
  <c r="N175" i="9"/>
  <c r="N176" i="9"/>
  <c r="M66" i="7"/>
  <c r="N66" i="7" s="1"/>
  <c r="M67" i="7"/>
  <c r="N67" i="7" s="1"/>
  <c r="M13" i="7"/>
  <c r="M9" i="7"/>
  <c r="N122" i="9"/>
  <c r="N118" i="9"/>
  <c r="O118" i="9" s="1"/>
  <c r="N64" i="9"/>
  <c r="M11" i="6"/>
  <c r="N120" i="9"/>
  <c r="N114" i="9" s="1"/>
  <c r="N72" i="9"/>
  <c r="N70" i="9"/>
  <c r="N29" i="9"/>
  <c r="N28" i="9"/>
  <c r="N65" i="9"/>
  <c r="N63" i="9"/>
  <c r="N49" i="9"/>
  <c r="N25" i="9"/>
  <c r="N24" i="9"/>
  <c r="M11" i="7"/>
  <c r="M77" i="7" s="1"/>
  <c r="M10" i="6"/>
  <c r="M17" i="6"/>
  <c r="M40" i="1"/>
  <c r="M16" i="1"/>
  <c r="M15" i="1"/>
  <c r="M12" i="6"/>
  <c r="M19" i="6"/>
  <c r="M20" i="1"/>
  <c r="M19" i="1"/>
  <c r="N108" i="9"/>
  <c r="N59" i="9" s="1"/>
  <c r="M54" i="6"/>
  <c r="M60" i="6" l="1"/>
  <c r="M46" i="1"/>
  <c r="M26" i="6"/>
  <c r="N9" i="7"/>
  <c r="M23" i="7"/>
  <c r="P54" i="6"/>
  <c r="M24" i="8"/>
  <c r="P53" i="6"/>
  <c r="M53" i="6"/>
  <c r="M51" i="6"/>
  <c r="M59" i="6" s="1"/>
  <c r="N107" i="9"/>
  <c r="Q107" i="9" s="1"/>
  <c r="N105" i="9"/>
  <c r="N58" i="9" s="1"/>
  <c r="M18" i="8" s="1"/>
  <c r="Q106" i="9"/>
  <c r="P52" i="6"/>
  <c r="N12" i="1"/>
  <c r="N45" i="9"/>
  <c r="Q45" i="9" s="1"/>
  <c r="Q40" i="9"/>
  <c r="N21" i="9"/>
  <c r="N182" i="9"/>
  <c r="Q178" i="9"/>
  <c r="Q23" i="9"/>
  <c r="M36" i="1"/>
  <c r="P36" i="1" s="1"/>
  <c r="M12" i="1"/>
  <c r="M73" i="7"/>
  <c r="N69" i="7"/>
  <c r="O69" i="7" s="1"/>
  <c r="N14" i="1"/>
  <c r="O14" i="1" s="1"/>
  <c r="N53" i="9"/>
  <c r="N55" i="9" s="1"/>
  <c r="Q44" i="9"/>
  <c r="N44" i="9"/>
  <c r="N43" i="9"/>
  <c r="Q43" i="9" s="1"/>
  <c r="M44" i="1"/>
  <c r="P35" i="1"/>
  <c r="M34" i="1"/>
  <c r="P34" i="1" s="1"/>
  <c r="M26" i="1"/>
  <c r="M50" i="1" s="1"/>
  <c r="N35" i="9"/>
  <c r="Q155" i="9"/>
  <c r="N37" i="9"/>
  <c r="Q164" i="9"/>
  <c r="Q104" i="9"/>
  <c r="N15" i="9" l="1"/>
  <c r="Q35" i="9"/>
  <c r="P44" i="1"/>
  <c r="P14" i="1"/>
  <c r="N46" i="9"/>
  <c r="Q105" i="9"/>
  <c r="Q53" i="9"/>
  <c r="P69" i="7"/>
  <c r="P51" i="6"/>
  <c r="P26" i="1"/>
  <c r="P55" i="7"/>
  <c r="K64" i="7"/>
  <c r="P50" i="6"/>
  <c r="M120" i="9"/>
  <c r="M118" i="9"/>
  <c r="L77" i="7" l="1"/>
  <c r="L67" i="7"/>
  <c r="L66" i="7"/>
  <c r="P71" i="7"/>
  <c r="P72" i="7"/>
  <c r="P46" i="7"/>
  <c r="L42" i="6"/>
  <c r="L37" i="6"/>
  <c r="L36" i="6"/>
  <c r="L35" i="6"/>
  <c r="L27" i="1"/>
  <c r="L23" i="1"/>
  <c r="L10" i="1"/>
  <c r="L9" i="1"/>
  <c r="M114" i="9"/>
  <c r="Q180" i="9"/>
  <c r="Q181" i="9"/>
  <c r="M19" i="9"/>
  <c r="M18" i="9"/>
  <c r="L73" i="7" l="1"/>
  <c r="N50" i="1"/>
  <c r="O50" i="1"/>
  <c r="M28" i="1"/>
  <c r="M37" i="1" s="1"/>
  <c r="Q37" i="9"/>
  <c r="N14" i="9"/>
  <c r="N9" i="9" s="1"/>
  <c r="L36" i="9"/>
  <c r="M36" i="9"/>
  <c r="O14" i="9"/>
  <c r="O9" i="9" s="1"/>
  <c r="P14" i="9"/>
  <c r="P9" i="9" s="1"/>
  <c r="O15" i="9"/>
  <c r="O10" i="9" s="1"/>
  <c r="P15" i="9"/>
  <c r="P10" i="9" s="1"/>
  <c r="N10" i="9"/>
  <c r="Q22" i="9"/>
  <c r="Q172" i="9"/>
  <c r="Q171" i="9"/>
  <c r="Q33" i="9"/>
  <c r="Q29" i="9"/>
  <c r="Q20" i="9"/>
  <c r="P31" i="1"/>
  <c r="P42" i="7"/>
  <c r="Q151" i="9"/>
  <c r="N79" i="9"/>
  <c r="Q93" i="9"/>
  <c r="O38" i="6"/>
  <c r="M47" i="1" l="1"/>
  <c r="P28" i="1"/>
  <c r="M49" i="1"/>
  <c r="M51" i="1" s="1"/>
  <c r="N14" i="8"/>
  <c r="Q36" i="9"/>
  <c r="O14" i="8"/>
  <c r="M14" i="8"/>
  <c r="O41" i="6"/>
  <c r="N41" i="6"/>
  <c r="N63" i="7"/>
  <c r="O63" i="7" s="1"/>
  <c r="N64" i="7"/>
  <c r="O64" i="7" s="1"/>
  <c r="N65" i="7"/>
  <c r="O65" i="7" s="1"/>
  <c r="N70" i="7"/>
  <c r="O70" i="7" s="1"/>
  <c r="N62" i="7"/>
  <c r="O62" i="7" s="1"/>
  <c r="O46" i="1"/>
  <c r="O12" i="1"/>
  <c r="O43" i="6"/>
  <c r="M41" i="6"/>
  <c r="M56" i="6" s="1"/>
  <c r="O56" i="6" l="1"/>
  <c r="O67" i="7"/>
  <c r="O10" i="1"/>
  <c r="P10" i="1" s="1"/>
  <c r="M13" i="8"/>
  <c r="M8" i="8" s="1"/>
  <c r="N56" i="6"/>
  <c r="O11" i="1"/>
  <c r="P11" i="1" s="1"/>
  <c r="P13" i="1"/>
  <c r="N12" i="9" l="1"/>
  <c r="N16" i="9" s="1"/>
  <c r="M15" i="8" l="1"/>
  <c r="M12" i="8" s="1"/>
  <c r="Q174" i="9"/>
  <c r="Q173" i="9"/>
  <c r="O182" i="9"/>
  <c r="P182" i="9"/>
  <c r="P144" i="9"/>
  <c r="O96" i="9"/>
  <c r="P96" i="9"/>
  <c r="O94" i="9"/>
  <c r="P94" i="9"/>
  <c r="P110" i="9" s="1"/>
  <c r="N94" i="9"/>
  <c r="N110" i="9" s="1"/>
  <c r="M143" i="9"/>
  <c r="M94" i="9"/>
  <c r="L41" i="6"/>
  <c r="L34" i="7"/>
  <c r="M113" i="9"/>
  <c r="Q113" i="9" s="1"/>
  <c r="L76" i="7"/>
  <c r="P76" i="7" s="1"/>
  <c r="Q131" i="9"/>
  <c r="Q130" i="9"/>
  <c r="P22" i="7"/>
  <c r="P21" i="7"/>
  <c r="M176" i="9"/>
  <c r="L23" i="8" l="1"/>
  <c r="P23" i="8" s="1"/>
  <c r="M9" i="9"/>
  <c r="M95" i="9"/>
  <c r="M110" i="9" s="1"/>
  <c r="L13" i="8"/>
  <c r="M14" i="9"/>
  <c r="M90" i="9"/>
  <c r="M89" i="9"/>
  <c r="Q89" i="9" s="1"/>
  <c r="M88" i="9"/>
  <c r="L8" i="8" l="1"/>
  <c r="P8" i="8" s="1"/>
  <c r="Q72" i="9"/>
  <c r="M15" i="9"/>
  <c r="P19" i="6"/>
  <c r="P20" i="1"/>
  <c r="P19" i="1"/>
  <c r="L37" i="1" l="1"/>
  <c r="L50" i="1"/>
  <c r="L23" i="7"/>
  <c r="M132" i="9"/>
  <c r="Q28" i="9"/>
  <c r="L14" i="8"/>
  <c r="L24" i="8"/>
  <c r="M59" i="9"/>
  <c r="M10" i="9" s="1"/>
  <c r="L26" i="6"/>
  <c r="M32" i="9"/>
  <c r="M175" i="9"/>
  <c r="M182" i="9" s="1"/>
  <c r="L176" i="9"/>
  <c r="M91" i="9"/>
  <c r="Q90" i="9"/>
  <c r="Q87" i="9"/>
  <c r="K84" i="9"/>
  <c r="Q84" i="9" s="1"/>
  <c r="K85" i="9"/>
  <c r="K86" i="9"/>
  <c r="Q86" i="9" s="1"/>
  <c r="Q88" i="9"/>
  <c r="L91" i="9"/>
  <c r="N91" i="9"/>
  <c r="N56" i="9" s="1"/>
  <c r="N60" i="9" s="1"/>
  <c r="P37" i="6"/>
  <c r="P34" i="6"/>
  <c r="P36" i="6"/>
  <c r="L49" i="1" l="1"/>
  <c r="L147" i="9"/>
  <c r="L96" i="9"/>
  <c r="Q96" i="9" s="1"/>
  <c r="L27" i="9"/>
  <c r="L26" i="9"/>
  <c r="L25" i="9"/>
  <c r="L24" i="9"/>
  <c r="Q24" i="9" s="1"/>
  <c r="L18" i="9"/>
  <c r="K67" i="7"/>
  <c r="K62" i="7"/>
  <c r="P62" i="7" s="1"/>
  <c r="K65" i="7"/>
  <c r="P65" i="7" s="1"/>
  <c r="K63" i="7"/>
  <c r="P63" i="7" s="1"/>
  <c r="P64" i="7"/>
  <c r="L60" i="6" l="1"/>
  <c r="L38" i="6"/>
  <c r="L19" i="8"/>
  <c r="K38" i="7"/>
  <c r="K13" i="7"/>
  <c r="K12" i="7"/>
  <c r="K11" i="7"/>
  <c r="K9" i="7"/>
  <c r="K43" i="6"/>
  <c r="P43" i="6" s="1"/>
  <c r="K18" i="6"/>
  <c r="K17" i="6"/>
  <c r="K16" i="6"/>
  <c r="K12" i="6"/>
  <c r="K11" i="6"/>
  <c r="K10" i="6"/>
  <c r="K9" i="6"/>
  <c r="K41" i="1"/>
  <c r="K40" i="1"/>
  <c r="K39" i="1" l="1"/>
  <c r="K18" i="1" l="1"/>
  <c r="K17" i="1"/>
  <c r="K16" i="1"/>
  <c r="K15" i="1"/>
  <c r="K9" i="1" l="1"/>
  <c r="P19" i="9" l="1"/>
  <c r="Q19" i="9" s="1"/>
  <c r="M46" i="9"/>
  <c r="K52" i="7" l="1"/>
  <c r="L21" i="9" l="1"/>
  <c r="Q39" i="9"/>
  <c r="L32" i="9"/>
  <c r="Q27" i="9"/>
  <c r="P30" i="1" l="1"/>
  <c r="J9" i="1"/>
  <c r="J18" i="1"/>
  <c r="P18" i="1" s="1"/>
  <c r="O144" i="9" l="1"/>
  <c r="N144" i="9"/>
  <c r="M144" i="9"/>
  <c r="M79" i="9"/>
  <c r="N34" i="7" l="1"/>
  <c r="O34" i="7" s="1"/>
  <c r="O35" i="7" s="1"/>
  <c r="N24" i="1" l="1"/>
  <c r="P24" i="1" s="1"/>
  <c r="Q25" i="9" l="1"/>
  <c r="P16" i="1"/>
  <c r="L34" i="9"/>
  <c r="L15" i="9" s="1"/>
  <c r="K25" i="1"/>
  <c r="K50" i="1" s="1"/>
  <c r="P50" i="1" s="1"/>
  <c r="O66" i="7" l="1"/>
  <c r="O73" i="7" s="1"/>
  <c r="N73" i="7"/>
  <c r="K23" i="1"/>
  <c r="K12" i="1"/>
  <c r="L143" i="9" l="1"/>
  <c r="Q143" i="9" s="1"/>
  <c r="K34" i="7" l="1"/>
  <c r="P34" i="7" s="1"/>
  <c r="Q179" i="9"/>
  <c r="Q139" i="9"/>
  <c r="Q140" i="9"/>
  <c r="Q141" i="9"/>
  <c r="Q142" i="9"/>
  <c r="Q119" i="9"/>
  <c r="Q124" i="9"/>
  <c r="Q125" i="9"/>
  <c r="Q127" i="9"/>
  <c r="Q128" i="9"/>
  <c r="Q129" i="9"/>
  <c r="Q112" i="9"/>
  <c r="Q116" i="9"/>
  <c r="Q51" i="9"/>
  <c r="Q52" i="9"/>
  <c r="Q38" i="9"/>
  <c r="Q41" i="9"/>
  <c r="Q42" i="9"/>
  <c r="Q8" i="9"/>
  <c r="Q13" i="9"/>
  <c r="Q98" i="9"/>
  <c r="Q68" i="9"/>
  <c r="Q74" i="9"/>
  <c r="Q75" i="9"/>
  <c r="Q76" i="9"/>
  <c r="Q77" i="9"/>
  <c r="Q78" i="9"/>
  <c r="O110" i="9" l="1"/>
  <c r="O101" i="9"/>
  <c r="O100" i="9"/>
  <c r="O99" i="9"/>
  <c r="O97" i="9"/>
  <c r="P11" i="8"/>
  <c r="P16" i="8"/>
  <c r="P18" i="8"/>
  <c r="P21" i="8"/>
  <c r="N19" i="8"/>
  <c r="P15" i="7"/>
  <c r="P16" i="7"/>
  <c r="P18" i="7"/>
  <c r="P19" i="7"/>
  <c r="P20" i="7"/>
  <c r="P10" i="7"/>
  <c r="P15" i="6"/>
  <c r="P48" i="1"/>
  <c r="P43" i="1"/>
  <c r="P42" i="1"/>
  <c r="P29" i="1"/>
  <c r="P32" i="1"/>
  <c r="P33" i="1"/>
  <c r="N49" i="1"/>
  <c r="N38" i="6"/>
  <c r="L60" i="7"/>
  <c r="N60" i="7"/>
  <c r="N35" i="7"/>
  <c r="M26" i="7"/>
  <c r="N26" i="7"/>
  <c r="K44" i="7"/>
  <c r="K45" i="7"/>
  <c r="L163" i="9"/>
  <c r="L152" i="9"/>
  <c r="K43" i="7"/>
  <c r="P12" i="7"/>
  <c r="L94" i="9"/>
  <c r="Q94" i="9" s="1"/>
  <c r="K41" i="6"/>
  <c r="P41" i="6" s="1"/>
  <c r="N9" i="8" l="1"/>
  <c r="K70" i="7"/>
  <c r="P70" i="7" s="1"/>
  <c r="Q162" i="9"/>
  <c r="Q163" i="9"/>
  <c r="L161" i="9"/>
  <c r="L169" i="9" s="1"/>
  <c r="K54" i="7"/>
  <c r="P54" i="7" s="1"/>
  <c r="P53" i="7"/>
  <c r="P52" i="7"/>
  <c r="Q161" i="9" l="1"/>
  <c r="K77" i="7"/>
  <c r="K60" i="7"/>
  <c r="Q26" i="9"/>
  <c r="Q64" i="9"/>
  <c r="Q121" i="9"/>
  <c r="Q50" i="9"/>
  <c r="Q71" i="9"/>
  <c r="L114" i="9"/>
  <c r="L177" i="9"/>
  <c r="Q177" i="9" s="1"/>
  <c r="P41" i="1"/>
  <c r="K60" i="6"/>
  <c r="K68" i="7"/>
  <c r="P68" i="7" s="1"/>
  <c r="P35" i="6"/>
  <c r="L46" i="9"/>
  <c r="L14" i="9" l="1"/>
  <c r="Q14" i="9" s="1"/>
  <c r="L59" i="9"/>
  <c r="K38" i="6"/>
  <c r="L95" i="9"/>
  <c r="Q95" i="9" s="1"/>
  <c r="K27" i="1"/>
  <c r="K42" i="6"/>
  <c r="P42" i="6" s="1"/>
  <c r="S18" i="7"/>
  <c r="P27" i="1" l="1"/>
  <c r="K37" i="1"/>
  <c r="K26" i="6"/>
  <c r="P44" i="7"/>
  <c r="P45" i="7"/>
  <c r="K23" i="7" l="1"/>
  <c r="L132" i="9"/>
  <c r="L79" i="9" l="1"/>
  <c r="K56" i="6"/>
  <c r="K73" i="7" l="1"/>
  <c r="L182" i="9" l="1"/>
  <c r="L10" i="9"/>
  <c r="K24" i="8"/>
  <c r="N46" i="1" l="1"/>
  <c r="Q154" i="9" l="1"/>
  <c r="Q153" i="9"/>
  <c r="K114" i="9" l="1"/>
  <c r="K120" i="9"/>
  <c r="Q120" i="9" s="1"/>
  <c r="K118" i="9"/>
  <c r="K59" i="9"/>
  <c r="K69" i="9"/>
  <c r="K65" i="9"/>
  <c r="Q65" i="9" s="1"/>
  <c r="K63" i="9"/>
  <c r="Q63" i="9" s="1"/>
  <c r="K15" i="9"/>
  <c r="Q15" i="9" s="1"/>
  <c r="K49" i="9"/>
  <c r="Q49" i="9" s="1"/>
  <c r="K21" i="9"/>
  <c r="J24" i="8"/>
  <c r="P24" i="8" s="1"/>
  <c r="J19" i="8"/>
  <c r="J14" i="8"/>
  <c r="J77" i="7"/>
  <c r="J60" i="6"/>
  <c r="J14" i="6"/>
  <c r="P14" i="6" s="1"/>
  <c r="J9" i="7"/>
  <c r="J11" i="7"/>
  <c r="P11" i="7" s="1"/>
  <c r="P21" i="9" l="1"/>
  <c r="J18" i="6"/>
  <c r="P18" i="6" s="1"/>
  <c r="J11" i="6"/>
  <c r="P11" i="6" s="1"/>
  <c r="J10" i="6"/>
  <c r="P10" i="6" s="1"/>
  <c r="J12" i="6"/>
  <c r="P12" i="6" s="1"/>
  <c r="P25" i="6"/>
  <c r="P24" i="6"/>
  <c r="J16" i="6"/>
  <c r="Q21" i="9" l="1"/>
  <c r="J12" i="1"/>
  <c r="P12" i="1" s="1"/>
  <c r="P17" i="1"/>
  <c r="P15" i="1"/>
  <c r="J40" i="1"/>
  <c r="P40" i="1" s="1"/>
  <c r="J23" i="1"/>
  <c r="P23" i="1" s="1"/>
  <c r="K14" i="8"/>
  <c r="P14" i="8" s="1"/>
  <c r="P49" i="1" l="1"/>
  <c r="K13" i="8"/>
  <c r="P13" i="8" s="1"/>
  <c r="L9" i="9"/>
  <c r="Q9" i="9" l="1"/>
  <c r="Q114" i="9"/>
  <c r="K58" i="9"/>
  <c r="Q58" i="9" s="1"/>
  <c r="P59" i="6" l="1"/>
  <c r="J49" i="6" l="1"/>
  <c r="J56" i="6" s="1"/>
  <c r="K102" i="9"/>
  <c r="Q102" i="9" s="1"/>
  <c r="N101" i="9"/>
  <c r="M101" i="9"/>
  <c r="L101" i="9"/>
  <c r="N100" i="9"/>
  <c r="M100" i="9"/>
  <c r="L100" i="9"/>
  <c r="N99" i="9"/>
  <c r="M99" i="9"/>
  <c r="L99" i="9"/>
  <c r="N97" i="9"/>
  <c r="M97" i="9"/>
  <c r="L97" i="9"/>
  <c r="M44" i="6"/>
  <c r="L44" i="6"/>
  <c r="L48" i="6"/>
  <c r="M48" i="6"/>
  <c r="K48" i="6"/>
  <c r="L47" i="6"/>
  <c r="M47" i="6"/>
  <c r="L46" i="6"/>
  <c r="M46" i="6"/>
  <c r="P45" i="6"/>
  <c r="K44" i="6"/>
  <c r="K47" i="6"/>
  <c r="K46" i="6"/>
  <c r="Q99" i="9" l="1"/>
  <c r="Q101" i="9"/>
  <c r="Q97" i="9"/>
  <c r="Q100" i="9"/>
  <c r="K110" i="9"/>
  <c r="L56" i="6"/>
  <c r="P56" i="6" s="1"/>
  <c r="P40" i="6"/>
  <c r="P47" i="6"/>
  <c r="L110" i="9"/>
  <c r="M56" i="9"/>
  <c r="M60" i="9" s="1"/>
  <c r="L20" i="8" s="1"/>
  <c r="P46" i="6"/>
  <c r="P44" i="6"/>
  <c r="P48" i="6"/>
  <c r="Q110" i="9" l="1"/>
  <c r="M19" i="8"/>
  <c r="M9" i="8" s="1"/>
  <c r="Q157" i="9"/>
  <c r="Q156" i="9"/>
  <c r="Q146" i="9"/>
  <c r="P23" i="6"/>
  <c r="P22" i="6"/>
  <c r="P21" i="6"/>
  <c r="P50" i="7"/>
  <c r="P48" i="7"/>
  <c r="P47" i="7"/>
  <c r="P37" i="7"/>
  <c r="P30" i="7"/>
  <c r="P31" i="7"/>
  <c r="P32" i="7"/>
  <c r="P33" i="7"/>
  <c r="M35" i="7"/>
  <c r="M38" i="6"/>
  <c r="M57" i="6" s="1"/>
  <c r="M61" i="6" s="1"/>
  <c r="L46" i="1"/>
  <c r="K46" i="1"/>
  <c r="N135" i="9"/>
  <c r="M55" i="9"/>
  <c r="M12" i="9" s="1"/>
  <c r="L55" i="9"/>
  <c r="P18" i="9" l="1"/>
  <c r="P46" i="9" s="1"/>
  <c r="P62" i="9"/>
  <c r="L51" i="1"/>
  <c r="L15" i="8" s="1"/>
  <c r="L12" i="8" s="1"/>
  <c r="L47" i="1"/>
  <c r="O46" i="9"/>
  <c r="K47" i="1"/>
  <c r="K51" i="1"/>
  <c r="K15" i="8" s="1"/>
  <c r="K12" i="8" s="1"/>
  <c r="N132" i="9"/>
  <c r="O9" i="6"/>
  <c r="L12" i="9"/>
  <c r="M20" i="8"/>
  <c r="Q18" i="9" l="1"/>
  <c r="M17" i="8"/>
  <c r="O79" i="9"/>
  <c r="O16" i="6"/>
  <c r="P16" i="6" s="1"/>
  <c r="N111" i="9"/>
  <c r="N115" i="9"/>
  <c r="O132" i="9"/>
  <c r="P118" i="9"/>
  <c r="P132" i="9" s="1"/>
  <c r="P69" i="9"/>
  <c r="P79" i="9" s="1"/>
  <c r="P56" i="9" s="1"/>
  <c r="P60" i="9" s="1"/>
  <c r="N26" i="6"/>
  <c r="N57" i="6" s="1"/>
  <c r="N61" i="6" s="1"/>
  <c r="L16" i="9"/>
  <c r="N20" i="8" l="1"/>
  <c r="M74" i="7"/>
  <c r="M78" i="7" s="1"/>
  <c r="M25" i="8" s="1"/>
  <c r="O56" i="9"/>
  <c r="O60" i="9" s="1"/>
  <c r="O26" i="6"/>
  <c r="O57" i="6" s="1"/>
  <c r="O61" i="6" s="1"/>
  <c r="O20" i="8" s="1"/>
  <c r="O17" i="8" s="1"/>
  <c r="Q118" i="9"/>
  <c r="Q69" i="9"/>
  <c r="N23" i="7"/>
  <c r="N74" i="7" s="1"/>
  <c r="N78" i="7" s="1"/>
  <c r="N25" i="8" s="1"/>
  <c r="N22" i="8" s="1"/>
  <c r="O9" i="7"/>
  <c r="O23" i="7" s="1"/>
  <c r="O74" i="7" s="1"/>
  <c r="O78" i="7" s="1"/>
  <c r="O25" i="8" s="1"/>
  <c r="O22" i="8" s="1"/>
  <c r="P115" i="9"/>
  <c r="P111" i="9"/>
  <c r="O115" i="9"/>
  <c r="O111" i="9"/>
  <c r="N11" i="9"/>
  <c r="O55" i="9"/>
  <c r="P48" i="9"/>
  <c r="P55" i="9" s="1"/>
  <c r="P12" i="9" s="1"/>
  <c r="P16" i="9" s="1"/>
  <c r="P11" i="9" s="1"/>
  <c r="P7" i="9" s="1"/>
  <c r="Q59" i="9"/>
  <c r="N17" i="8" l="1"/>
  <c r="M10" i="8"/>
  <c r="M22" i="8"/>
  <c r="P9" i="7"/>
  <c r="O12" i="9"/>
  <c r="O16" i="9" s="1"/>
  <c r="N7" i="9"/>
  <c r="P60" i="6"/>
  <c r="M7" i="8" l="1"/>
  <c r="O11" i="9"/>
  <c r="K126" i="9"/>
  <c r="Q126" i="9" s="1"/>
  <c r="O7" i="9" l="1"/>
  <c r="J17" i="7"/>
  <c r="P17" i="7" s="1"/>
  <c r="P77" i="7" l="1"/>
  <c r="K158" i="9" l="1"/>
  <c r="K160" i="9"/>
  <c r="K83" i="9"/>
  <c r="Q83" i="9" s="1"/>
  <c r="K82" i="9"/>
  <c r="K81" i="9"/>
  <c r="J49" i="7"/>
  <c r="P49" i="7" s="1"/>
  <c r="J51" i="7"/>
  <c r="P51" i="7" s="1"/>
  <c r="J33" i="6"/>
  <c r="P33" i="6" s="1"/>
  <c r="J32" i="6"/>
  <c r="P32" i="6" s="1"/>
  <c r="J31" i="6"/>
  <c r="P31" i="6" s="1"/>
  <c r="J30" i="6"/>
  <c r="P30" i="6" s="1"/>
  <c r="J29" i="6"/>
  <c r="P29" i="6" s="1"/>
  <c r="J28" i="6"/>
  <c r="K91" i="9" l="1"/>
  <c r="J38" i="6"/>
  <c r="Q160" i="9"/>
  <c r="P28" i="6"/>
  <c r="P38" i="6" s="1"/>
  <c r="V11" i="9"/>
  <c r="K10" i="9" l="1"/>
  <c r="K34" i="9" l="1"/>
  <c r="Q34" i="9" s="1"/>
  <c r="K152" i="9"/>
  <c r="Q152" i="9" s="1"/>
  <c r="K147" i="9"/>
  <c r="Q158" i="9" s="1"/>
  <c r="K150" i="9"/>
  <c r="Q150" i="9" s="1"/>
  <c r="K176" i="9"/>
  <c r="Q176" i="9" s="1"/>
  <c r="J41" i="7"/>
  <c r="P41" i="7" s="1"/>
  <c r="J67" i="7"/>
  <c r="P67" i="7" s="1"/>
  <c r="J38" i="7"/>
  <c r="P38" i="7" s="1"/>
  <c r="J43" i="7"/>
  <c r="P43" i="7" s="1"/>
  <c r="J60" i="7" l="1"/>
  <c r="P60" i="7" s="1"/>
  <c r="Q147" i="9"/>
  <c r="K169" i="9"/>
  <c r="J25" i="1"/>
  <c r="J13" i="7"/>
  <c r="P13" i="7" s="1"/>
  <c r="K122" i="9"/>
  <c r="Q122" i="9" s="1"/>
  <c r="K67" i="9"/>
  <c r="Q67" i="9" s="1"/>
  <c r="P25" i="1" l="1"/>
  <c r="J37" i="1"/>
  <c r="J9" i="8"/>
  <c r="P49" i="6"/>
  <c r="J17" i="6"/>
  <c r="P17" i="6" s="1"/>
  <c r="J9" i="6"/>
  <c r="P9" i="6" s="1"/>
  <c r="J39" i="1"/>
  <c r="P39" i="1" s="1"/>
  <c r="P46" i="1" s="1"/>
  <c r="J26" i="6" l="1"/>
  <c r="P26" i="6" s="1"/>
  <c r="P57" i="6" s="1"/>
  <c r="J23" i="7"/>
  <c r="P23" i="7" s="1"/>
  <c r="J46" i="1"/>
  <c r="J51" i="1" s="1"/>
  <c r="K70" i="9"/>
  <c r="Q70" i="9" s="1"/>
  <c r="K62" i="9"/>
  <c r="Q62" i="9" s="1"/>
  <c r="K48" i="9"/>
  <c r="Q48" i="9" s="1"/>
  <c r="K55" i="9" l="1"/>
  <c r="Q55" i="9" s="1"/>
  <c r="K79" i="9"/>
  <c r="Q79" i="9" s="1"/>
  <c r="J57" i="6"/>
  <c r="J61" i="6" s="1"/>
  <c r="K132" i="9"/>
  <c r="Q132" i="9" s="1"/>
  <c r="J20" i="8" l="1"/>
  <c r="K56" i="9"/>
  <c r="K138" i="9"/>
  <c r="Q138" i="9" s="1"/>
  <c r="K137" i="9"/>
  <c r="Q137" i="9" s="1"/>
  <c r="K32" i="9"/>
  <c r="Q32" i="9" s="1"/>
  <c r="J28" i="7"/>
  <c r="J29" i="7"/>
  <c r="P29" i="7" s="1"/>
  <c r="K175" i="9"/>
  <c r="Q175" i="9" s="1"/>
  <c r="J66" i="7"/>
  <c r="P66" i="7" s="1"/>
  <c r="Q57" i="9"/>
  <c r="M169" i="9"/>
  <c r="Q159" i="9"/>
  <c r="Q149" i="9"/>
  <c r="Q148" i="9"/>
  <c r="L144" i="9"/>
  <c r="M135" i="9"/>
  <c r="L135" i="9"/>
  <c r="K135" i="9"/>
  <c r="Q134" i="9"/>
  <c r="Q135" i="9" s="1"/>
  <c r="Q81" i="9"/>
  <c r="Q91" i="9" s="1"/>
  <c r="M111" i="9" l="1"/>
  <c r="Q169" i="9"/>
  <c r="Q144" i="9"/>
  <c r="L111" i="9"/>
  <c r="K60" i="9"/>
  <c r="J17" i="8"/>
  <c r="J73" i="7"/>
  <c r="P73" i="7" s="1"/>
  <c r="K182" i="9"/>
  <c r="Q182" i="9" s="1"/>
  <c r="M16" i="9"/>
  <c r="K46" i="9"/>
  <c r="Q46" i="9" s="1"/>
  <c r="L115" i="9"/>
  <c r="J35" i="7"/>
  <c r="P28" i="7"/>
  <c r="P35" i="7" s="1"/>
  <c r="K144" i="9"/>
  <c r="L56" i="9"/>
  <c r="Q56" i="9" s="1"/>
  <c r="L60" i="9" l="1"/>
  <c r="Q60" i="9" s="1"/>
  <c r="K12" i="9"/>
  <c r="M11" i="9"/>
  <c r="K115" i="9"/>
  <c r="Q115" i="9" s="1"/>
  <c r="K111" i="9"/>
  <c r="Q111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K35" i="7"/>
  <c r="L35" i="7"/>
  <c r="J47" i="1" l="1"/>
  <c r="P40" i="7"/>
  <c r="S40" i="7"/>
  <c r="R40" i="7"/>
  <c r="S39" i="7"/>
  <c r="R39" i="7"/>
  <c r="P39" i="7"/>
  <c r="L26" i="7"/>
  <c r="K26" i="7"/>
  <c r="K74" i="7" s="1"/>
  <c r="K78" i="7" s="1"/>
  <c r="J26" i="7"/>
  <c r="J74" i="7" s="1"/>
  <c r="J78" i="7" s="1"/>
  <c r="P25" i="7"/>
  <c r="P26" i="7" s="1"/>
  <c r="S17" i="7"/>
  <c r="R17" i="7"/>
  <c r="S15" i="7"/>
  <c r="L9" i="8"/>
  <c r="K57" i="6"/>
  <c r="K61" i="6" s="1"/>
  <c r="R4" i="8"/>
  <c r="K19" i="8"/>
  <c r="K9" i="8" l="1"/>
  <c r="P9" i="8" s="1"/>
  <c r="P19" i="8"/>
  <c r="J15" i="8"/>
  <c r="L57" i="6"/>
  <c r="L61" i="6" s="1"/>
  <c r="P61" i="6" s="1"/>
  <c r="K20" i="8"/>
  <c r="P20" i="8" s="1"/>
  <c r="L74" i="7" l="1"/>
  <c r="P74" i="7"/>
  <c r="J12" i="8"/>
  <c r="K17" i="8"/>
  <c r="L78" i="7" l="1"/>
  <c r="L25" i="8" s="1"/>
  <c r="L22" i="8" s="1"/>
  <c r="L17" i="8"/>
  <c r="P17" i="8" s="1"/>
  <c r="K25" i="8"/>
  <c r="P78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J22" i="8"/>
  <c r="P22" i="8" s="1"/>
  <c r="J7" i="8" l="1"/>
  <c r="R5" i="8" l="1"/>
  <c r="R6" i="8" s="1"/>
  <c r="N37" i="1"/>
  <c r="N47" i="1" s="1"/>
  <c r="O9" i="1" l="1"/>
  <c r="O37" i="1" s="1"/>
  <c r="P37" i="1" s="1"/>
  <c r="N51" i="1"/>
  <c r="N15" i="8" s="1"/>
  <c r="N10" i="8" s="1"/>
  <c r="N12" i="8" l="1"/>
  <c r="O47" i="1"/>
  <c r="P47" i="1" s="1"/>
  <c r="O51" i="1"/>
  <c r="O15" i="8" s="1"/>
  <c r="P9" i="1"/>
  <c r="P51" i="1" l="1"/>
  <c r="O12" i="8"/>
  <c r="O10" i="8"/>
  <c r="O7" i="8" s="1"/>
  <c r="N7" i="8"/>
  <c r="P15" i="8"/>
  <c r="P12" i="8"/>
  <c r="P7" i="8" l="1"/>
  <c r="P10" i="8"/>
</calcChain>
</file>

<file path=xl/sharedStrings.xml><?xml version="1.0" encoding="utf-8"?>
<sst xmlns="http://schemas.openxmlformats.org/spreadsheetml/2006/main" count="2434" uniqueCount="353">
  <si>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</si>
  <si>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</si>
  <si>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</si>
  <si>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</si>
  <si>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</si>
  <si>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</si>
  <si>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</si>
  <si>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</si>
  <si>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</si>
  <si>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</si>
  <si>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</si>
  <si>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</si>
  <si>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</si>
  <si>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</si>
  <si>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</si>
  <si>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</si>
  <si>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</si>
  <si>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</si>
  <si>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</si>
  <si>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</si>
  <si>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</si>
  <si>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</si>
  <si>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</si>
  <si>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</si>
  <si>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</si>
  <si>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</si>
  <si>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</si>
  <si>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</si>
  <si>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</si>
  <si>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</si>
  <si>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</si>
  <si>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</si>
  <si>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</si>
  <si>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</si>
  <si>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</si>
  <si>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</si>
  <si>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</si>
  <si>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</si>
  <si>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</si>
  <si>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</si>
  <si>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</si>
  <si>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</si>
  <si>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</si>
  <si>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</si>
  <si>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</si>
  <si>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</si>
  <si>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</si>
  <si>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</si>
  <si>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</si>
  <si>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</si>
  <si>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</si>
  <si>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</si>
  <si>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</si>
  <si>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</si>
  <si>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</si>
  <si>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</si>
  <si>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</si>
  <si>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</si>
  <si>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</si>
  <si>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</si>
  <si>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</si>
  <si>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</si>
  <si>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</si>
  <si>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</si>
  <si>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</si>
  <si>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</si>
  <si>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</si>
  <si>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</si>
  <si>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</si>
  <si>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</si>
  <si>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</si>
  <si>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</si>
  <si>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</si>
  <si>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</si>
  <si>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</si>
  <si>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</si>
  <si>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</si>
  <si>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</si>
  <si>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</si>
  <si>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</si>
  <si>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</si>
  <si>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</si>
  <si>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</si>
  <si>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</si>
  <si>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</si>
  <si>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</si>
  <si>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</si>
  <si>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</si>
  <si>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</si>
  <si>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</si>
  <si>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</si>
  <si>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</si>
  <si>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</si>
  <si>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</si>
  <si>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</si>
  <si>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</si>
  <si>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</si>
  <si>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</si>
  <si>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</si>
  <si>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</si>
  <si>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</si>
  <si>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</si>
  <si>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</si>
  <si>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</si>
  <si>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</si>
  <si>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</si>
  <si>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</si>
  <si>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</si>
  <si>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</si>
  <si>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</si>
  <si>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</si>
  <si>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</si>
  <si>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</si>
  <si>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</si>
  <si>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</si>
  <si>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</si>
  <si>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</si>
  <si>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</si>
  <si>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</si>
  <si>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</si>
  <si>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</si>
  <si>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</si>
  <si>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</si>
  <si>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</si>
  <si>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</si>
  <si>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</si>
  <si>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</si>
  <si>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</si>
  <si>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</si>
  <si>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</si>
  <si>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</si>
  <si>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</si>
  <si>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</si>
  <si>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</si>
  <si>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</si>
  <si>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</si>
  <si>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</si>
  <si>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</si>
  <si>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</si>
  <si>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</si>
  <si>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</si>
  <si>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</si>
  <si>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</si>
  <si>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</si>
  <si>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</si>
  <si>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</si>
  <si>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</si>
  <si>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</si>
  <si>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</si>
  <si>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</si>
  <si>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</si>
  <si>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</si>
  <si>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</si>
  <si>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</si>
  <si>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</si>
  <si>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</si>
  <si>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</si>
  <si>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</si>
  <si>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</si>
  <si>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</si>
  <si>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</si>
  <si>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</si>
  <si>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</si>
  <si>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</si>
  <si>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</si>
  <si>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</si>
  <si>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</si>
  <si>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</si>
  <si>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</si>
  <si>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</si>
  <si>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</si>
  <si>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</si>
  <si>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</si>
  <si>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</si>
  <si>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</si>
  <si>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</si>
  <si>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</si>
  <si>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</si>
  <si>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</si>
  <si>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</si>
  <si>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</si>
  <si>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</si>
  <si>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</si>
  <si>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</si>
  <si>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</si>
  <si>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</si>
  <si>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</si>
  <si>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</si>
  <si>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</si>
  <si>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</si>
  <si>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</si>
  <si>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</si>
  <si>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</si>
  <si>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</si>
  <si>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</si>
  <si>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</si>
  <si>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</si>
  <si>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</si>
  <si>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</si>
  <si>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</si>
  <si>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</si>
  <si>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</si>
  <si>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</si>
  <si>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</si>
  <si>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</si>
  <si>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</si>
  <si>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</si>
  <si>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</si>
  <si>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</si>
  <si>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</si>
  <si>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</si>
  <si>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</si>
  <si>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</si>
  <si>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</si>
  <si>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</si>
  <si>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</si>
  <si>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</si>
  <si>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</si>
  <si>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</si>
  <si>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</si>
  <si>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</si>
  <si>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</si>
  <si>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</si>
  <si>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</si>
  <si>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</si>
  <si>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</si>
  <si>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</si>
  <si>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</si>
  <si>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</si>
  <si>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</si>
  <si>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</si>
  <si>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</si>
  <si>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</si>
  <si>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</si>
  <si>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</si>
  <si>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</si>
  <si>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</si>
  <si>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</si>
  <si>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</si>
  <si>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</si>
  <si>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</si>
  <si>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</si>
  <si>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</si>
  <si>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</si>
  <si>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</si>
  <si>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</si>
  <si>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</si>
  <si>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</si>
  <si>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</si>
  <si>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</si>
  <si>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</si>
  <si>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</si>
  <si>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</si>
  <si>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</si>
  <si>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</si>
  <si>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</si>
  <si>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</si>
  <si>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</si>
  <si>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</si>
  <si>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</si>
  <si>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</si>
  <si>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</si>
  <si>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</si>
  <si>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</si>
  <si>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</si>
  <si>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</si>
  <si>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</si>
  <si>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</si>
  <si>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</si>
  <si>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</si>
  <si>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</si>
  <si>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</si>
  <si>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</si>
  <si>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</si>
  <si>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</si>
  <si>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</si>
  <si>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</si>
  <si>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</si>
  <si>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</si>
  <si>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</si>
  <si>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</si>
  <si>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</si>
  <si>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</si>
  <si>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</si>
  <si>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</si>
  <si>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</si>
  <si>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</si>
  <si>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</si>
  <si>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</si>
  <si>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</si>
  <si>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</si>
  <si>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</si>
  <si>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</si>
  <si>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</si>
  <si>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</si>
  <si>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</si>
  <si>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</si>
  <si>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</si>
  <si>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</si>
  <si>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</si>
  <si>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</si>
  <si>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</si>
  <si>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</si>
  <si>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</si>
  <si>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</si>
  <si>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</si>
  <si>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</si>
  <si>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</si>
  <si>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</si>
  <si>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</si>
  <si>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</si>
  <si>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</si>
  <si>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</si>
  <si>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</si>
  <si>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</si>
  <si>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1,14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</si>
  <si>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</si>
  <si>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</si>
  <si>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</si>
  <si>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</si>
  <si>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</si>
  <si>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</si>
  <si>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</si>
  <si>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</si>
  <si>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</si>
  <si>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</si>
  <si>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 xml:space="preserve">Софинансирование к субсидии на организационную и материально-техническую модернизацию городских муниципальных библиотек Красноярского края </t>
  </si>
  <si>
    <t>4.14</t>
  </si>
  <si>
    <t>4.15</t>
  </si>
  <si>
    <t xml:space="preserve">Субсидия на организационную и материально-техническую модернизацию городских муниципальных библиотек Красноярского края </t>
  </si>
  <si>
    <t>00S4490</t>
  </si>
  <si>
    <t>4.16</t>
  </si>
  <si>
    <t>4.14.</t>
  </si>
  <si>
    <t>4.15.</t>
  </si>
  <si>
    <t>4.16.</t>
  </si>
  <si>
    <t>0074490</t>
  </si>
  <si>
    <t>4.17</t>
  </si>
  <si>
    <t>4.17.</t>
  </si>
  <si>
    <t>00L5580</t>
  </si>
  <si>
    <t>Софинансирование субсидии на обеспечение развития и укрепления материально-технической базы муниципальных домов культуры</t>
  </si>
  <si>
    <t>0010460</t>
  </si>
  <si>
    <t>2.5.</t>
  </si>
  <si>
    <t>0010420</t>
  </si>
  <si>
    <t>Субсидия на частичное финансирование (возмещение) расходов на увеличение размеров оплаты труда работников учреждений культуры, подведомственных муниципальному органу управления в сфере культуры</t>
  </si>
  <si>
    <t xml:space="preserve">Субсидия 
на частичное финансирование (возмещение) расходов на увеличение размеров оплаты труда педагогических работников муниципальных учреждений дополнительного образования детей
</t>
  </si>
  <si>
    <t>Приложение №  к постановлению администрации города Бородино  от                            №</t>
  </si>
  <si>
    <t>3.8.</t>
  </si>
  <si>
    <t>0098210</t>
  </si>
  <si>
    <t>Целевое пожертвование денежных средств на площадь МБУК ГДК "Угольщик"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</si>
  <si>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 09.10.2017  № 652</t>
    </r>
    <r>
      <rPr>
        <sz val="12"/>
        <color indexed="8"/>
        <rFont val="Arial"/>
        <family val="2"/>
        <charset val="204"/>
      </rPr>
      <t xml:space="preserve">
</t>
    </r>
  </si>
  <si>
    <t xml:space="preserve">Приложение № 1                                                                                                                                           к постановлению администрации города Бородино от  09.10.2017 № 652  </t>
  </si>
  <si>
    <t>Приложение № 3                                                                        к постановлению администрации города Бородино от 09.10.2017 № 652</t>
  </si>
  <si>
    <t>Приложение № 4  к постановлению администрации города Бородино  от 09.10.2017  № 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</si>
</sst>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05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22" fillId="3" borderId="1" xfId="0" applyNumberFormat="1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vertical="top" wrapText="1"/>
    </xf>
    <xf numFmtId="0" fontId="22" fillId="3" borderId="1" xfId="0" applyFont="1" applyFill="1" applyBorder="1" applyAlignment="1">
      <alignment horizontal="left" vertical="top" wrapText="1"/>
    </xf>
    <xf numFmtId="49" fontId="22" fillId="3" borderId="6" xfId="0" applyNumberFormat="1" applyFont="1" applyFill="1" applyBorder="1" applyAlignment="1">
      <alignment horizontal="center" vertical="top" wrapText="1"/>
    </xf>
    <xf numFmtId="0" fontId="22" fillId="3" borderId="5" xfId="0" applyFont="1" applyFill="1" applyBorder="1" applyAlignment="1">
      <alignment horizontal="center" vertical="top" wrapText="1"/>
    </xf>
    <xf numFmtId="49" fontId="22" fillId="3" borderId="4" xfId="0" applyNumberFormat="1" applyFont="1" applyFill="1" applyBorder="1" applyAlignment="1">
      <alignment horizontal="center" vertical="top" wrapText="1"/>
    </xf>
    <xf numFmtId="166" fontId="22" fillId="3" borderId="1" xfId="0" applyNumberFormat="1" applyFont="1" applyFill="1" applyBorder="1" applyAlignment="1">
      <alignment horizontal="right" vertical="top" wrapText="1"/>
    </xf>
    <xf numFmtId="168" fontId="22" fillId="3" borderId="1" xfId="0" applyNumberFormat="1" applyFont="1" applyFill="1" applyBorder="1" applyAlignment="1">
      <alignment horizontal="right" vertical="top" wrapText="1"/>
    </xf>
    <xf numFmtId="166" fontId="22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168" fontId="7" fillId="3" borderId="1" xfId="0" applyNumberFormat="1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3"/>
  <sheetViews>
    <sheetView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7.554687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3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462" t="s">
        <v>349</v>
      </c>
      <c r="O1" s="462"/>
      <c r="P1" s="462"/>
      <c r="Q1" s="462"/>
      <c r="R1" s="462"/>
    </row>
    <row r="2" spans="1:22" ht="87.75" customHeight="1" x14ac:dyDescent="0.25">
      <c r="A2" s="58"/>
      <c r="B2" s="58"/>
      <c r="C2" s="59"/>
      <c r="D2" s="59"/>
      <c r="E2" s="59"/>
      <c r="F2" s="463"/>
      <c r="G2" s="464"/>
      <c r="H2" s="464"/>
      <c r="I2" s="59"/>
      <c r="J2" s="59"/>
      <c r="K2" s="59"/>
      <c r="L2" s="60"/>
      <c r="M2" s="60"/>
      <c r="N2" s="469" t="s">
        <v>293</v>
      </c>
      <c r="O2" s="469"/>
      <c r="P2" s="469"/>
      <c r="Q2" s="469"/>
      <c r="R2" s="469"/>
      <c r="S2" s="18"/>
    </row>
    <row r="3" spans="1:22" ht="53.25" customHeight="1" x14ac:dyDescent="0.25">
      <c r="A3" s="465" t="s">
        <v>194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71" t="s">
        <v>3</v>
      </c>
      <c r="B5" s="474" t="s">
        <v>203</v>
      </c>
      <c r="C5" s="472" t="s">
        <v>281</v>
      </c>
      <c r="D5" s="470" t="s">
        <v>229</v>
      </c>
      <c r="E5" s="470" t="s">
        <v>4</v>
      </c>
      <c r="F5" s="470"/>
      <c r="G5" s="470"/>
      <c r="H5" s="470"/>
      <c r="I5" s="470"/>
      <c r="J5" s="470"/>
      <c r="K5" s="466" t="s">
        <v>224</v>
      </c>
      <c r="L5" s="467"/>
      <c r="M5" s="467"/>
      <c r="N5" s="467"/>
      <c r="O5" s="467"/>
      <c r="P5" s="467"/>
      <c r="Q5" s="468"/>
      <c r="R5" s="470" t="s">
        <v>5</v>
      </c>
      <c r="V5" s="9">
        <v>12000000</v>
      </c>
    </row>
    <row r="6" spans="1:22" ht="87.75" customHeight="1" x14ac:dyDescent="0.25">
      <c r="A6" s="471"/>
      <c r="B6" s="475"/>
      <c r="C6" s="473"/>
      <c r="D6" s="470"/>
      <c r="E6" s="64" t="s">
        <v>6</v>
      </c>
      <c r="F6" s="64" t="s">
        <v>7</v>
      </c>
      <c r="G6" s="466" t="s">
        <v>8</v>
      </c>
      <c r="H6" s="467"/>
      <c r="I6" s="468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470"/>
      <c r="V6" s="9">
        <v>340000</v>
      </c>
    </row>
    <row r="7" spans="1:22" ht="49.5" customHeight="1" x14ac:dyDescent="0.25">
      <c r="A7" s="490"/>
      <c r="B7" s="502" t="s">
        <v>76</v>
      </c>
      <c r="C7" s="493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83555789.060000002</v>
      </c>
      <c r="O7" s="67">
        <f t="shared" si="0"/>
        <v>56661609.940000005</v>
      </c>
      <c r="P7" s="67">
        <f t="shared" si="0"/>
        <v>56661609.940000005</v>
      </c>
      <c r="Q7" s="67">
        <f>SUM(K7:P7)</f>
        <v>381343143.35000002</v>
      </c>
      <c r="R7" s="68"/>
      <c r="V7" s="9">
        <v>320000</v>
      </c>
    </row>
    <row r="8" spans="1:22" ht="20.25" customHeight="1" x14ac:dyDescent="0.25">
      <c r="A8" s="491"/>
      <c r="B8" s="495"/>
      <c r="C8" s="491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491"/>
      <c r="B9" s="495"/>
      <c r="C9" s="491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2500-300+M113</f>
        <v>37560</v>
      </c>
      <c r="N9" s="72">
        <f t="shared" ref="N9:P11" si="2">N14+N58+N113</f>
        <v>2114580</v>
      </c>
      <c r="O9" s="72">
        <f t="shared" si="2"/>
        <v>0</v>
      </c>
      <c r="P9" s="72">
        <f t="shared" si="2"/>
        <v>0</v>
      </c>
      <c r="Q9" s="67">
        <f t="shared" si="1"/>
        <v>8336740</v>
      </c>
      <c r="R9" s="68"/>
    </row>
    <row r="10" spans="1:22" ht="54" customHeight="1" x14ac:dyDescent="0.25">
      <c r="A10" s="491"/>
      <c r="B10" s="495"/>
      <c r="C10" s="491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K15+K59+K114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17736542.849999998</v>
      </c>
      <c r="O10" s="72">
        <f t="shared" si="2"/>
        <v>0</v>
      </c>
      <c r="P10" s="72">
        <f t="shared" si="2"/>
        <v>0</v>
      </c>
      <c r="Q10" s="67">
        <f t="shared" si="1"/>
        <v>27122349.399999999</v>
      </c>
      <c r="R10" s="68"/>
      <c r="V10" s="9">
        <v>400000</v>
      </c>
    </row>
    <row r="11" spans="1:22" ht="63" customHeight="1" x14ac:dyDescent="0.25">
      <c r="A11" s="492"/>
      <c r="B11" s="496"/>
      <c r="C11" s="492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63704666.210000001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345884053.95000005</v>
      </c>
      <c r="R11" s="68"/>
      <c r="S11" s="46"/>
      <c r="V11" s="9">
        <f>SUM(V5:V10)</f>
        <v>13490000</v>
      </c>
    </row>
    <row r="12" spans="1:22" ht="48.75" customHeight="1" x14ac:dyDescent="0.25">
      <c r="A12" s="479" t="s">
        <v>13</v>
      </c>
      <c r="B12" s="494" t="s">
        <v>49</v>
      </c>
      <c r="C12" s="482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K46+K55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N46+N55</f>
        <v>11486268.15</v>
      </c>
      <c r="O12" s="72">
        <f t="shared" si="4"/>
        <v>10486041.66</v>
      </c>
      <c r="P12" s="72">
        <f t="shared" si="4"/>
        <v>10486041.66</v>
      </c>
      <c r="Q12" s="67">
        <f>SUM(K12:P12)</f>
        <v>63260567.349999994</v>
      </c>
      <c r="R12" s="68"/>
    </row>
    <row r="13" spans="1:22" ht="20.25" customHeight="1" x14ac:dyDescent="0.25">
      <c r="A13" s="491"/>
      <c r="B13" s="495"/>
      <c r="C13" s="491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491"/>
      <c r="B14" s="495"/>
      <c r="C14" s="491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L36</f>
        <v>3000</v>
      </c>
      <c r="M14" s="72">
        <f>M36</f>
        <v>2200</v>
      </c>
      <c r="N14" s="72">
        <f>N37</f>
        <v>2100</v>
      </c>
      <c r="O14" s="72">
        <f>O36</f>
        <v>0</v>
      </c>
      <c r="P14" s="72">
        <f>P36</f>
        <v>0</v>
      </c>
      <c r="Q14" s="67">
        <f t="shared" si="1"/>
        <v>7300</v>
      </c>
      <c r="R14" s="68"/>
    </row>
    <row r="15" spans="1:22" ht="55.5" customHeight="1" x14ac:dyDescent="0.25">
      <c r="A15" s="491"/>
      <c r="B15" s="495"/>
      <c r="C15" s="491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L24+L49+L34+L25</f>
        <v>329979.43</v>
      </c>
      <c r="M15" s="72">
        <f>M34+M24+M25+M49+M28+M29</f>
        <v>121929.48000000001</v>
      </c>
      <c r="N15" s="72">
        <f>N34+N24+N25+N49+N28+N29+N35+N43+N44+N53+N30+N31+N54</f>
        <v>1289103.6599999999</v>
      </c>
      <c r="O15" s="72">
        <f>O34+O24+O25+O49+O28+O29</f>
        <v>0</v>
      </c>
      <c r="P15" s="72">
        <f>P34+P24+P25+P49+P28+P29</f>
        <v>0</v>
      </c>
      <c r="Q15" s="67">
        <f>SUM(K15:O15)</f>
        <v>2055543.7799999998</v>
      </c>
      <c r="R15" s="68"/>
    </row>
    <row r="16" spans="1:22" ht="64.5" customHeight="1" x14ac:dyDescent="0.25">
      <c r="A16" s="492"/>
      <c r="B16" s="496"/>
      <c r="C16" s="492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10195064.49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61197723.569999993</v>
      </c>
      <c r="R16" s="68"/>
    </row>
    <row r="17" spans="1:19" ht="18.75" customHeight="1" x14ac:dyDescent="0.25">
      <c r="A17" s="73" t="s">
        <v>13</v>
      </c>
      <c r="B17" s="74"/>
      <c r="C17" s="459" t="s">
        <v>68</v>
      </c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1"/>
      <c r="R17" s="68"/>
    </row>
    <row r="18" spans="1:19" ht="29.25" customHeight="1" x14ac:dyDescent="0.25">
      <c r="A18" s="108" t="s">
        <v>30</v>
      </c>
      <c r="B18" s="334"/>
      <c r="C18" s="500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f>4953804.01-148890</f>
        <v>4804914.01</v>
      </c>
      <c r="O18" s="81">
        <f>N18+148890</f>
        <v>4953804.01</v>
      </c>
      <c r="P18" s="81">
        <f>O18</f>
        <v>4953804.01</v>
      </c>
      <c r="Q18" s="81">
        <f t="shared" ref="Q18:Q23" si="6">SUM(K18:P18)</f>
        <v>29179273.789999992</v>
      </c>
      <c r="R18" s="454" t="s">
        <v>82</v>
      </c>
    </row>
    <row r="19" spans="1:19" s="44" customFormat="1" ht="29.25" customHeight="1" x14ac:dyDescent="0.25">
      <c r="A19" s="134"/>
      <c r="B19" s="335"/>
      <c r="C19" s="501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f>1496048.81-44964.78</f>
        <v>1451084.03</v>
      </c>
      <c r="O19" s="81">
        <f>N19+44964.78</f>
        <v>1496048.81</v>
      </c>
      <c r="P19" s="81">
        <f>O19</f>
        <v>1496048.81</v>
      </c>
      <c r="Q19" s="81">
        <f t="shared" si="6"/>
        <v>8812128.9900000002</v>
      </c>
      <c r="R19" s="455"/>
    </row>
    <row r="20" spans="1:19" s="24" customFormat="1" ht="29.25" customHeight="1" x14ac:dyDescent="0.25">
      <c r="A20" s="134"/>
      <c r="B20" s="335"/>
      <c r="C20" s="501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81"/>
      <c r="L20" s="81">
        <v>1560</v>
      </c>
      <c r="M20" s="81">
        <v>2236.1999999999998</v>
      </c>
      <c r="N20" s="81">
        <f>1560-195</f>
        <v>1365</v>
      </c>
      <c r="O20" s="81">
        <v>1560</v>
      </c>
      <c r="P20" s="81">
        <v>1560</v>
      </c>
      <c r="Q20" s="81">
        <f t="shared" si="6"/>
        <v>8281.2000000000007</v>
      </c>
      <c r="R20" s="455"/>
    </row>
    <row r="21" spans="1:19" ht="27" customHeight="1" x14ac:dyDescent="0.25">
      <c r="A21" s="134"/>
      <c r="B21" s="335"/>
      <c r="C21" s="501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81">
        <f>1019485-3.2+1687.2</f>
        <v>1021169</v>
      </c>
      <c r="L21" s="81">
        <f>1027352.04-3300-6800</f>
        <v>1017252.04</v>
      </c>
      <c r="M21" s="81">
        <v>1157926.8</v>
      </c>
      <c r="N21" s="81">
        <f>1008123+4300-41</f>
        <v>1012382</v>
      </c>
      <c r="O21" s="81">
        <v>1012423</v>
      </c>
      <c r="P21" s="81">
        <f>O21</f>
        <v>1012423</v>
      </c>
      <c r="Q21" s="81">
        <f t="shared" si="6"/>
        <v>6233575.8399999999</v>
      </c>
      <c r="R21" s="455"/>
      <c r="S21" s="9" t="s">
        <v>200</v>
      </c>
    </row>
    <row r="22" spans="1:19" s="56" customFormat="1" ht="27" customHeight="1" x14ac:dyDescent="0.25">
      <c r="A22" s="134"/>
      <c r="B22" s="335"/>
      <c r="C22" s="501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Q22" s="81">
        <f t="shared" si="6"/>
        <v>470</v>
      </c>
      <c r="R22" s="455"/>
    </row>
    <row r="23" spans="1:19" ht="43.5" customHeight="1" x14ac:dyDescent="0.25">
      <c r="A23" s="113"/>
      <c r="B23" s="336"/>
      <c r="C23" s="503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244</v>
      </c>
      <c r="J23" s="397">
        <v>853</v>
      </c>
      <c r="K23" s="401"/>
      <c r="L23" s="401"/>
      <c r="M23" s="401"/>
      <c r="N23" s="88">
        <v>160</v>
      </c>
      <c r="O23" s="88">
        <v>160</v>
      </c>
      <c r="P23" s="88">
        <v>160</v>
      </c>
      <c r="Q23" s="81">
        <f t="shared" si="6"/>
        <v>480</v>
      </c>
      <c r="R23" s="456"/>
    </row>
    <row r="24" spans="1:19" ht="127.5" customHeight="1" x14ac:dyDescent="0.25">
      <c r="A24" s="134"/>
      <c r="B24" s="335"/>
      <c r="C24" s="457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>
        <f>22404.8</f>
        <v>22404.799999999999</v>
      </c>
      <c r="O24" s="88"/>
      <c r="P24" s="88"/>
      <c r="Q24" s="81">
        <f>SUM(K24:O24)</f>
        <v>313083.78000000003</v>
      </c>
      <c r="R24" s="343"/>
    </row>
    <row r="25" spans="1:19" s="44" customFormat="1" ht="92.25" customHeight="1" x14ac:dyDescent="0.25">
      <c r="A25" s="134"/>
      <c r="B25" s="335"/>
      <c r="C25" s="458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252</v>
      </c>
      <c r="J25" s="85" t="s">
        <v>278</v>
      </c>
      <c r="K25" s="88">
        <v>39067.919999999998</v>
      </c>
      <c r="L25" s="88">
        <f>26288.22+13960.23</f>
        <v>40248.449999999997</v>
      </c>
      <c r="M25" s="88">
        <v>8468.69</v>
      </c>
      <c r="N25" s="88">
        <f>6766.25</f>
        <v>6766.25</v>
      </c>
      <c r="O25" s="88"/>
      <c r="P25" s="88"/>
      <c r="Q25" s="81">
        <f t="shared" ref="Q25:Q45" si="7">SUM(K25:O25)</f>
        <v>94551.31</v>
      </c>
      <c r="R25" s="343"/>
    </row>
    <row r="26" spans="1:19" ht="194.25" customHeight="1" x14ac:dyDescent="0.25">
      <c r="A26" s="113"/>
      <c r="B26" s="336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73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38"/>
    </row>
    <row r="27" spans="1:19" s="47" customFormat="1" ht="143.25" customHeight="1" x14ac:dyDescent="0.25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253</v>
      </c>
      <c r="J27" s="73" t="s">
        <v>278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 x14ac:dyDescent="0.25">
      <c r="A28" s="89"/>
      <c r="B28" s="82"/>
      <c r="C28" s="289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73" t="s">
        <v>79</v>
      </c>
      <c r="K28" s="96"/>
      <c r="L28" s="96"/>
      <c r="M28" s="96">
        <v>22877.15</v>
      </c>
      <c r="N28" s="96">
        <f>21898.06</f>
        <v>21898.06</v>
      </c>
      <c r="O28" s="96"/>
      <c r="P28" s="96"/>
      <c r="Q28" s="96">
        <f>K28+L28+M28+N28+O28</f>
        <v>44775.210000000006</v>
      </c>
      <c r="R28" s="105"/>
    </row>
    <row r="29" spans="1:19" s="51" customFormat="1" ht="119.25" customHeight="1" x14ac:dyDescent="0.25">
      <c r="A29" s="89"/>
      <c r="B29" s="82"/>
      <c r="C29" s="289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259</v>
      </c>
      <c r="J29" s="73" t="s">
        <v>278</v>
      </c>
      <c r="K29" s="96"/>
      <c r="L29" s="96"/>
      <c r="M29" s="96">
        <v>6908.9</v>
      </c>
      <c r="N29" s="96">
        <f>6613.22</f>
        <v>6613.22</v>
      </c>
      <c r="O29" s="96"/>
      <c r="P29" s="96"/>
      <c r="Q29" s="96">
        <f>K29+L29+M29+N29+O29</f>
        <v>13522.119999999999</v>
      </c>
      <c r="R29" s="105"/>
    </row>
    <row r="30" spans="1:19" s="56" customFormat="1" ht="222.75" customHeight="1" x14ac:dyDescent="0.25">
      <c r="A30" s="336"/>
      <c r="B30" s="335"/>
      <c r="C30" s="289" t="s">
        <v>343</v>
      </c>
      <c r="D30" s="91" t="s">
        <v>56</v>
      </c>
      <c r="E30" s="92" t="s">
        <v>74</v>
      </c>
      <c r="F30" s="93" t="s">
        <v>27</v>
      </c>
      <c r="G30" s="94" t="s">
        <v>77</v>
      </c>
      <c r="H30" s="95">
        <v>1</v>
      </c>
      <c r="I30" s="93" t="s">
        <v>340</v>
      </c>
      <c r="J30" s="447" t="s">
        <v>79</v>
      </c>
      <c r="K30" s="96"/>
      <c r="L30" s="96"/>
      <c r="M30" s="96"/>
      <c r="N30" s="96">
        <f>362250.63+96608.4</f>
        <v>458859.03</v>
      </c>
      <c r="O30" s="96"/>
      <c r="P30" s="96"/>
      <c r="Q30" s="96">
        <f t="shared" ref="Q30:Q31" si="9">K30+L30+M30+N30+O30</f>
        <v>458859.03</v>
      </c>
      <c r="R30" s="446"/>
    </row>
    <row r="31" spans="1:19" s="56" customFormat="1" ht="227.25" customHeight="1" x14ac:dyDescent="0.25">
      <c r="A31" s="336"/>
      <c r="B31" s="335"/>
      <c r="C31" s="289" t="s">
        <v>343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93" t="s">
        <v>340</v>
      </c>
      <c r="J31" s="447" t="s">
        <v>278</v>
      </c>
      <c r="K31" s="96"/>
      <c r="L31" s="96"/>
      <c r="M31" s="96"/>
      <c r="N31" s="96">
        <f>109399.69+29175.74</f>
        <v>138575.43</v>
      </c>
      <c r="O31" s="96"/>
      <c r="P31" s="96"/>
      <c r="Q31" s="96">
        <f t="shared" si="9"/>
        <v>138575.43</v>
      </c>
      <c r="R31" s="446"/>
    </row>
    <row r="32" spans="1:19" ht="137.25" customHeight="1" x14ac:dyDescent="0.25">
      <c r="A32" s="107" t="s">
        <v>54</v>
      </c>
      <c r="B32" s="107"/>
      <c r="C32" s="302" t="s">
        <v>120</v>
      </c>
      <c r="D32" s="91" t="s">
        <v>56</v>
      </c>
      <c r="E32" s="73" t="s">
        <v>74</v>
      </c>
      <c r="F32" s="73" t="s">
        <v>27</v>
      </c>
      <c r="G32" s="74" t="s">
        <v>77</v>
      </c>
      <c r="H32" s="110">
        <v>1</v>
      </c>
      <c r="I32" s="111" t="s">
        <v>245</v>
      </c>
      <c r="J32" s="73" t="s">
        <v>28</v>
      </c>
      <c r="K32" s="96">
        <f>5560+230+1160</f>
        <v>6950</v>
      </c>
      <c r="L32" s="96">
        <f>6120+236+6800</f>
        <v>13156</v>
      </c>
      <c r="M32" s="96">
        <f>13700</f>
        <v>13700</v>
      </c>
      <c r="N32" s="96"/>
      <c r="O32" s="96">
        <v>13700</v>
      </c>
      <c r="P32" s="96">
        <v>13700</v>
      </c>
      <c r="Q32" s="81">
        <f>SUM(K32:P32)</f>
        <v>61206</v>
      </c>
      <c r="R32" s="112" t="s">
        <v>161</v>
      </c>
    </row>
    <row r="33" spans="1:19" ht="112.5" customHeight="1" x14ac:dyDescent="0.25">
      <c r="A33" s="113" t="s">
        <v>57</v>
      </c>
      <c r="B33" s="113"/>
      <c r="C33" s="109" t="s">
        <v>121</v>
      </c>
      <c r="D33" s="91" t="s">
        <v>56</v>
      </c>
      <c r="E33" s="92" t="s">
        <v>74</v>
      </c>
      <c r="F33" s="93" t="s">
        <v>27</v>
      </c>
      <c r="G33" s="94" t="s">
        <v>77</v>
      </c>
      <c r="H33" s="95">
        <v>1</v>
      </c>
      <c r="I33" s="114" t="s">
        <v>243</v>
      </c>
      <c r="J33" s="93" t="s">
        <v>28</v>
      </c>
      <c r="K33" s="96">
        <v>370000</v>
      </c>
      <c r="L33" s="96">
        <v>370000</v>
      </c>
      <c r="M33" s="96">
        <v>370000</v>
      </c>
      <c r="N33" s="96">
        <v>370000</v>
      </c>
      <c r="O33" s="96">
        <v>370000</v>
      </c>
      <c r="P33" s="96">
        <v>370000</v>
      </c>
      <c r="Q33" s="81">
        <f>SUM(K33:P33)</f>
        <v>2220000</v>
      </c>
      <c r="R33" s="112"/>
    </row>
    <row r="34" spans="1:19" ht="197.25" customHeight="1" x14ac:dyDescent="0.25">
      <c r="A34" s="113" t="s">
        <v>103</v>
      </c>
      <c r="B34" s="113"/>
      <c r="C34" s="115" t="s">
        <v>303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6" t="s">
        <v>254</v>
      </c>
      <c r="J34" s="83" t="s">
        <v>28</v>
      </c>
      <c r="K34" s="81">
        <f>27800-6800</f>
        <v>21000</v>
      </c>
      <c r="L34" s="81">
        <f>30600-7700+27200</f>
        <v>50100</v>
      </c>
      <c r="M34" s="81">
        <v>41100</v>
      </c>
      <c r="N34" s="81"/>
      <c r="O34" s="81"/>
      <c r="P34" s="81"/>
      <c r="Q34" s="81">
        <f>SUM(K34:O34)</f>
        <v>112200</v>
      </c>
      <c r="R34" s="112"/>
    </row>
    <row r="35" spans="1:19" s="56" customFormat="1" ht="188.25" customHeight="1" x14ac:dyDescent="0.25">
      <c r="A35" s="113" t="s">
        <v>160</v>
      </c>
      <c r="B35" s="113"/>
      <c r="C35" s="382" t="s">
        <v>304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6" t="s">
        <v>305</v>
      </c>
      <c r="J35" s="83" t="s">
        <v>28</v>
      </c>
      <c r="K35" s="81"/>
      <c r="L35" s="81"/>
      <c r="M35" s="81"/>
      <c r="N35" s="81">
        <f>41300</f>
        <v>41300</v>
      </c>
      <c r="O35" s="81"/>
      <c r="P35" s="81"/>
      <c r="Q35" s="81">
        <f>SUM(K35:O35)</f>
        <v>41300</v>
      </c>
      <c r="R35" s="112"/>
    </row>
    <row r="36" spans="1:19" ht="131.25" customHeight="1" x14ac:dyDescent="0.25">
      <c r="A36" s="113" t="s">
        <v>173</v>
      </c>
      <c r="B36" s="113"/>
      <c r="C36" s="287" t="s">
        <v>167</v>
      </c>
      <c r="D36" s="69" t="s">
        <v>56</v>
      </c>
      <c r="E36" s="76" t="s">
        <v>74</v>
      </c>
      <c r="F36" s="83" t="s">
        <v>27</v>
      </c>
      <c r="G36" s="84" t="s">
        <v>77</v>
      </c>
      <c r="H36" s="78">
        <v>1</v>
      </c>
      <c r="I36" s="114" t="s">
        <v>246</v>
      </c>
      <c r="J36" s="83" t="s">
        <v>28</v>
      </c>
      <c r="K36" s="81">
        <v>0</v>
      </c>
      <c r="L36" s="81">
        <f>3300-300</f>
        <v>3000</v>
      </c>
      <c r="M36" s="81">
        <f>2500-300</f>
        <v>2200</v>
      </c>
      <c r="N36" s="81"/>
      <c r="O36" s="81">
        <v>0</v>
      </c>
      <c r="P36" s="81"/>
      <c r="Q36" s="81">
        <f t="shared" si="7"/>
        <v>5200</v>
      </c>
      <c r="R36" s="112"/>
    </row>
    <row r="37" spans="1:19" s="56" customFormat="1" ht="189.75" customHeight="1" x14ac:dyDescent="0.25">
      <c r="A37" s="113" t="s">
        <v>197</v>
      </c>
      <c r="B37" s="113"/>
      <c r="C37" s="382" t="s">
        <v>304</v>
      </c>
      <c r="D37" s="69" t="s">
        <v>56</v>
      </c>
      <c r="E37" s="76" t="s">
        <v>74</v>
      </c>
      <c r="F37" s="83" t="s">
        <v>27</v>
      </c>
      <c r="G37" s="84" t="s">
        <v>77</v>
      </c>
      <c r="H37" s="78">
        <v>1</v>
      </c>
      <c r="I37" s="114" t="s">
        <v>305</v>
      </c>
      <c r="J37" s="83" t="s">
        <v>28</v>
      </c>
      <c r="K37" s="81"/>
      <c r="L37" s="81"/>
      <c r="M37" s="81"/>
      <c r="N37" s="81">
        <f>2100</f>
        <v>2100</v>
      </c>
      <c r="O37" s="81"/>
      <c r="P37" s="81"/>
      <c r="Q37" s="81">
        <f t="shared" si="7"/>
        <v>2100</v>
      </c>
      <c r="R37" s="112"/>
    </row>
    <row r="38" spans="1:19" s="24" customFormat="1" ht="187.5" customHeight="1" x14ac:dyDescent="0.25">
      <c r="A38" s="113" t="s">
        <v>231</v>
      </c>
      <c r="B38" s="113"/>
      <c r="C38" s="115" t="s">
        <v>172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255</v>
      </c>
      <c r="J38" s="76" t="s">
        <v>79</v>
      </c>
      <c r="K38" s="81">
        <v>4112.6400000000003</v>
      </c>
      <c r="L38" s="81"/>
      <c r="M38" s="81"/>
      <c r="N38" s="81"/>
      <c r="O38" s="81"/>
      <c r="P38" s="81"/>
      <c r="Q38" s="81">
        <f t="shared" si="7"/>
        <v>4112.6400000000003</v>
      </c>
      <c r="R38" s="112"/>
    </row>
    <row r="39" spans="1:19" s="47" customFormat="1" ht="131.25" customHeight="1" x14ac:dyDescent="0.25">
      <c r="A39" s="336" t="s">
        <v>279</v>
      </c>
      <c r="B39" s="113"/>
      <c r="C39" s="115" t="s">
        <v>172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255</v>
      </c>
      <c r="J39" s="76" t="s">
        <v>278</v>
      </c>
      <c r="K39" s="81">
        <v>1242.02</v>
      </c>
      <c r="L39" s="81"/>
      <c r="M39" s="81"/>
      <c r="N39" s="81"/>
      <c r="O39" s="81"/>
      <c r="P39" s="81"/>
      <c r="Q39" s="81">
        <f t="shared" ref="Q39" si="10">SUM(K39:O39)</f>
        <v>1242.02</v>
      </c>
      <c r="R39" s="112"/>
    </row>
    <row r="40" spans="1:19" s="32" customFormat="1" ht="117" customHeight="1" x14ac:dyDescent="0.25">
      <c r="A40" s="336" t="s">
        <v>297</v>
      </c>
      <c r="B40" s="113"/>
      <c r="C40" s="286" t="s">
        <v>198</v>
      </c>
      <c r="D40" s="69" t="s">
        <v>56</v>
      </c>
      <c r="E40" s="76" t="s">
        <v>74</v>
      </c>
      <c r="F40" s="76" t="s">
        <v>27</v>
      </c>
      <c r="G40" s="77" t="s">
        <v>77</v>
      </c>
      <c r="H40" s="78">
        <v>1</v>
      </c>
      <c r="I40" s="83" t="s">
        <v>256</v>
      </c>
      <c r="J40" s="76" t="s">
        <v>28</v>
      </c>
      <c r="K40" s="81"/>
      <c r="L40" s="81">
        <v>3300</v>
      </c>
      <c r="M40" s="81">
        <v>250</v>
      </c>
      <c r="N40" s="81"/>
      <c r="O40" s="81">
        <v>260</v>
      </c>
      <c r="P40" s="81">
        <v>260</v>
      </c>
      <c r="Q40" s="81">
        <f>SUM(K40:P40)</f>
        <v>4070</v>
      </c>
      <c r="R40" s="112"/>
    </row>
    <row r="41" spans="1:19" s="36" customFormat="1" ht="60.75" customHeight="1" x14ac:dyDescent="0.25">
      <c r="A41" s="336" t="s">
        <v>298</v>
      </c>
      <c r="B41" s="113"/>
      <c r="C41" s="357" t="s">
        <v>232</v>
      </c>
      <c r="D41" s="69" t="s">
        <v>56</v>
      </c>
      <c r="E41" s="76" t="s">
        <v>74</v>
      </c>
      <c r="F41" s="76" t="s">
        <v>27</v>
      </c>
      <c r="G41" s="77" t="s">
        <v>77</v>
      </c>
      <c r="H41" s="78">
        <v>1</v>
      </c>
      <c r="I41" s="83" t="s">
        <v>257</v>
      </c>
      <c r="J41" s="76" t="s">
        <v>28</v>
      </c>
      <c r="K41" s="81"/>
      <c r="L41" s="81">
        <v>116125</v>
      </c>
      <c r="M41" s="81"/>
      <c r="N41" s="81"/>
      <c r="O41" s="81"/>
      <c r="P41" s="81"/>
      <c r="Q41" s="81">
        <f t="shared" si="7"/>
        <v>116125</v>
      </c>
      <c r="R41" s="112"/>
    </row>
    <row r="42" spans="1:19" s="39" customFormat="1" ht="131.25" customHeight="1" x14ac:dyDescent="0.25">
      <c r="A42" s="336" t="s">
        <v>306</v>
      </c>
      <c r="B42" s="113"/>
      <c r="C42" s="301" t="s">
        <v>241</v>
      </c>
      <c r="D42" s="91" t="s">
        <v>56</v>
      </c>
      <c r="E42" s="92" t="s">
        <v>74</v>
      </c>
      <c r="F42" s="93" t="s">
        <v>27</v>
      </c>
      <c r="G42" s="94" t="s">
        <v>77</v>
      </c>
      <c r="H42" s="95">
        <v>1</v>
      </c>
      <c r="I42" s="114" t="s">
        <v>258</v>
      </c>
      <c r="J42" s="93" t="s">
        <v>28</v>
      </c>
      <c r="K42" s="81"/>
      <c r="L42" s="81">
        <v>200000</v>
      </c>
      <c r="M42" s="81"/>
      <c r="N42" s="81"/>
      <c r="O42" s="81"/>
      <c r="P42" s="81"/>
      <c r="Q42" s="81">
        <f t="shared" si="7"/>
        <v>200000</v>
      </c>
      <c r="R42" s="112"/>
    </row>
    <row r="43" spans="1:19" s="56" customFormat="1" ht="111" customHeight="1" x14ac:dyDescent="0.25">
      <c r="A43" s="479" t="s">
        <v>309</v>
      </c>
      <c r="B43" s="479"/>
      <c r="C43" s="517" t="s">
        <v>308</v>
      </c>
      <c r="D43" s="454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310</v>
      </c>
      <c r="J43" s="93" t="s">
        <v>79</v>
      </c>
      <c r="K43" s="81"/>
      <c r="L43" s="81"/>
      <c r="M43" s="81"/>
      <c r="N43" s="81">
        <f>268817.2</f>
        <v>268817.2</v>
      </c>
      <c r="O43" s="81"/>
      <c r="P43" s="81"/>
      <c r="Q43" s="81">
        <f t="shared" si="7"/>
        <v>268817.2</v>
      </c>
      <c r="R43" s="112"/>
    </row>
    <row r="44" spans="1:19" s="56" customFormat="1" ht="109.5" customHeight="1" x14ac:dyDescent="0.25">
      <c r="A44" s="480"/>
      <c r="B44" s="480"/>
      <c r="C44" s="518"/>
      <c r="D44" s="456"/>
      <c r="E44" s="92" t="s">
        <v>74</v>
      </c>
      <c r="F44" s="93" t="s">
        <v>27</v>
      </c>
      <c r="G44" s="94" t="s">
        <v>77</v>
      </c>
      <c r="H44" s="95">
        <v>1</v>
      </c>
      <c r="I44" s="114" t="s">
        <v>310</v>
      </c>
      <c r="J44" s="93" t="s">
        <v>278</v>
      </c>
      <c r="K44" s="81"/>
      <c r="L44" s="81"/>
      <c r="M44" s="81"/>
      <c r="N44" s="81">
        <f>81182.8</f>
        <v>81182.8</v>
      </c>
      <c r="O44" s="81"/>
      <c r="P44" s="81"/>
      <c r="Q44" s="81">
        <f t="shared" si="7"/>
        <v>81182.8</v>
      </c>
      <c r="R44" s="112"/>
    </row>
    <row r="45" spans="1:19" s="56" customFormat="1" ht="136.5" customHeight="1" x14ac:dyDescent="0.25">
      <c r="A45" s="392" t="s">
        <v>315</v>
      </c>
      <c r="B45" s="392"/>
      <c r="C45" s="393" t="s">
        <v>120</v>
      </c>
      <c r="D45" s="394" t="s">
        <v>56</v>
      </c>
      <c r="E45" s="92" t="s">
        <v>74</v>
      </c>
      <c r="F45" s="93" t="s">
        <v>27</v>
      </c>
      <c r="G45" s="94" t="s">
        <v>77</v>
      </c>
      <c r="H45" s="95">
        <v>1</v>
      </c>
      <c r="I45" s="114" t="s">
        <v>314</v>
      </c>
      <c r="J45" s="93" t="s">
        <v>28</v>
      </c>
      <c r="K45" s="81"/>
      <c r="L45" s="81"/>
      <c r="M45" s="81"/>
      <c r="N45" s="81">
        <f>14001</f>
        <v>14001</v>
      </c>
      <c r="O45" s="81"/>
      <c r="P45" s="81"/>
      <c r="Q45" s="81">
        <f t="shared" si="7"/>
        <v>14001</v>
      </c>
      <c r="R45" s="112"/>
    </row>
    <row r="46" spans="1:19" ht="31.5" customHeight="1" x14ac:dyDescent="0.25">
      <c r="A46" s="73"/>
      <c r="B46" s="73"/>
      <c r="C46" s="115" t="s">
        <v>15</v>
      </c>
      <c r="D46" s="69"/>
      <c r="E46" s="115"/>
      <c r="F46" s="115"/>
      <c r="G46" s="77"/>
      <c r="H46" s="78"/>
      <c r="I46" s="71"/>
      <c r="J46" s="115"/>
      <c r="K46" s="81">
        <f t="shared" ref="K46:P46" si="11">SUM(K18:K42)</f>
        <v>7761783.0299999993</v>
      </c>
      <c r="L46" s="81">
        <f t="shared" si="11"/>
        <v>8209693.25</v>
      </c>
      <c r="M46" s="81">
        <f t="shared" si="11"/>
        <v>8063105.1600000011</v>
      </c>
      <c r="N46" s="81">
        <f>SUM(N18:N45)</f>
        <v>8702422.8300000001</v>
      </c>
      <c r="O46" s="81">
        <f t="shared" si="11"/>
        <v>7847955.8200000003</v>
      </c>
      <c r="P46" s="81">
        <f t="shared" si="11"/>
        <v>7847955.8200000003</v>
      </c>
      <c r="Q46" s="81">
        <f>SUM(K46:P46)</f>
        <v>48432915.910000004</v>
      </c>
      <c r="R46" s="91"/>
      <c r="S46" s="8"/>
    </row>
    <row r="47" spans="1:19" ht="18" customHeight="1" x14ac:dyDescent="0.25">
      <c r="A47" s="73" t="s">
        <v>16</v>
      </c>
      <c r="B47" s="74"/>
      <c r="C47" s="459" t="s">
        <v>71</v>
      </c>
      <c r="D47" s="460"/>
      <c r="E47" s="460"/>
      <c r="F47" s="460"/>
      <c r="G47" s="460"/>
      <c r="H47" s="460"/>
      <c r="I47" s="460"/>
      <c r="J47" s="460"/>
      <c r="K47" s="460"/>
      <c r="L47" s="460"/>
      <c r="M47" s="460"/>
      <c r="N47" s="460"/>
      <c r="O47" s="460"/>
      <c r="P47" s="460"/>
      <c r="Q47" s="461"/>
      <c r="R47" s="91"/>
    </row>
    <row r="48" spans="1:19" ht="165.75" customHeight="1" x14ac:dyDescent="0.25">
      <c r="A48" s="479" t="s">
        <v>17</v>
      </c>
      <c r="B48" s="118"/>
      <c r="C48" s="115" t="s">
        <v>122</v>
      </c>
      <c r="D48" s="69" t="s">
        <v>56</v>
      </c>
      <c r="E48" s="76" t="s">
        <v>74</v>
      </c>
      <c r="F48" s="76" t="s">
        <v>27</v>
      </c>
      <c r="G48" s="77" t="s">
        <v>77</v>
      </c>
      <c r="H48" s="78">
        <v>1</v>
      </c>
      <c r="I48" s="111" t="s">
        <v>244</v>
      </c>
      <c r="J48" s="76" t="s">
        <v>78</v>
      </c>
      <c r="K48" s="81">
        <f>2089586.88+21000-109173.01+61290+46791.28</f>
        <v>2109495.15</v>
      </c>
      <c r="L48" s="81">
        <v>2167494.23</v>
      </c>
      <c r="M48" s="81">
        <v>2282088.83</v>
      </c>
      <c r="N48" s="81">
        <f>2638085.84-96927.39</f>
        <v>2541158.4499999997</v>
      </c>
      <c r="O48" s="81">
        <f>N48+96927.39</f>
        <v>2638085.84</v>
      </c>
      <c r="P48" s="81">
        <f>O48</f>
        <v>2638085.84</v>
      </c>
      <c r="Q48" s="81">
        <f>SUM(K48:P48)</f>
        <v>14376408.34</v>
      </c>
      <c r="R48" s="454" t="s">
        <v>81</v>
      </c>
    </row>
    <row r="49" spans="1:19" ht="134.25" customHeight="1" x14ac:dyDescent="0.25">
      <c r="A49" s="481"/>
      <c r="B49" s="119"/>
      <c r="C49" s="115" t="s">
        <v>138</v>
      </c>
      <c r="D49" s="69" t="s">
        <v>56</v>
      </c>
      <c r="E49" s="83" t="s">
        <v>74</v>
      </c>
      <c r="F49" s="83" t="s">
        <v>27</v>
      </c>
      <c r="G49" s="84" t="s">
        <v>77</v>
      </c>
      <c r="H49" s="78">
        <v>1</v>
      </c>
      <c r="I49" s="83" t="s">
        <v>252</v>
      </c>
      <c r="J49" s="83" t="s">
        <v>78</v>
      </c>
      <c r="K49" s="81">
        <f>108081.28-46791.28+9459.03</f>
        <v>70749.03</v>
      </c>
      <c r="L49" s="81">
        <v>106357.97</v>
      </c>
      <c r="M49" s="81">
        <v>14532.72</v>
      </c>
      <c r="N49" s="81">
        <f>10635.13</f>
        <v>10635.13</v>
      </c>
      <c r="O49" s="81"/>
      <c r="P49" s="81"/>
      <c r="Q49" s="81">
        <f t="shared" ref="Q49:Q54" si="12">SUM(K49:O49)</f>
        <v>202274.85</v>
      </c>
      <c r="R49" s="455"/>
    </row>
    <row r="50" spans="1:19" ht="163.5" customHeight="1" x14ac:dyDescent="0.25">
      <c r="A50" s="480"/>
      <c r="B50" s="120"/>
      <c r="C50" s="115" t="s">
        <v>139</v>
      </c>
      <c r="D50" s="69" t="s">
        <v>56</v>
      </c>
      <c r="E50" s="83" t="s">
        <v>74</v>
      </c>
      <c r="F50" s="83" t="s">
        <v>27</v>
      </c>
      <c r="G50" s="84" t="s">
        <v>77</v>
      </c>
      <c r="H50" s="78">
        <v>1</v>
      </c>
      <c r="I50" s="83" t="s">
        <v>253</v>
      </c>
      <c r="J50" s="83" t="s">
        <v>78</v>
      </c>
      <c r="K50" s="81">
        <v>1091.73</v>
      </c>
      <c r="L50" s="81">
        <v>1074.32</v>
      </c>
      <c r="M50" s="81">
        <v>156.94</v>
      </c>
      <c r="N50" s="81"/>
      <c r="O50" s="81"/>
      <c r="P50" s="81"/>
      <c r="Q50" s="81">
        <f t="shared" si="12"/>
        <v>2322.9900000000002</v>
      </c>
      <c r="R50" s="456"/>
    </row>
    <row r="51" spans="1:19" ht="81.75" customHeight="1" x14ac:dyDescent="0.25">
      <c r="A51" s="73" t="s">
        <v>72</v>
      </c>
      <c r="B51" s="73"/>
      <c r="C51" s="115" t="s">
        <v>129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247</v>
      </c>
      <c r="J51" s="76" t="s">
        <v>80</v>
      </c>
      <c r="K51" s="81">
        <v>12000</v>
      </c>
      <c r="L51" s="81">
        <v>0</v>
      </c>
      <c r="M51" s="81">
        <v>0</v>
      </c>
      <c r="N51" s="81"/>
      <c r="O51" s="81"/>
      <c r="P51" s="81"/>
      <c r="Q51" s="81">
        <f t="shared" si="12"/>
        <v>12000</v>
      </c>
      <c r="R51" s="90" t="s">
        <v>130</v>
      </c>
    </row>
    <row r="52" spans="1:19" ht="197.25" customHeight="1" x14ac:dyDescent="0.25">
      <c r="A52" s="73" t="s">
        <v>73</v>
      </c>
      <c r="B52" s="73"/>
      <c r="C52" s="115" t="s">
        <v>172</v>
      </c>
      <c r="D52" s="69" t="s">
        <v>56</v>
      </c>
      <c r="E52" s="76" t="s">
        <v>74</v>
      </c>
      <c r="F52" s="76" t="s">
        <v>27</v>
      </c>
      <c r="G52" s="77" t="s">
        <v>77</v>
      </c>
      <c r="H52" s="78">
        <v>1</v>
      </c>
      <c r="I52" s="83" t="s">
        <v>255</v>
      </c>
      <c r="J52" s="76" t="s">
        <v>78</v>
      </c>
      <c r="K52" s="81">
        <v>2593.52</v>
      </c>
      <c r="L52" s="81"/>
      <c r="M52" s="81"/>
      <c r="N52" s="81"/>
      <c r="O52" s="81"/>
      <c r="P52" s="81"/>
      <c r="Q52" s="81">
        <f t="shared" si="12"/>
        <v>2593.52</v>
      </c>
      <c r="R52" s="90"/>
    </row>
    <row r="53" spans="1:19" s="56" customFormat="1" ht="237.75" customHeight="1" x14ac:dyDescent="0.25">
      <c r="A53" s="388" t="s">
        <v>311</v>
      </c>
      <c r="B53" s="388"/>
      <c r="C53" s="115" t="s">
        <v>308</v>
      </c>
      <c r="D53" s="69" t="s">
        <v>56</v>
      </c>
      <c r="E53" s="76" t="s">
        <v>74</v>
      </c>
      <c r="F53" s="76" t="s">
        <v>27</v>
      </c>
      <c r="G53" s="77" t="s">
        <v>77</v>
      </c>
      <c r="H53" s="78">
        <v>1</v>
      </c>
      <c r="I53" s="83" t="s">
        <v>310</v>
      </c>
      <c r="J53" s="76" t="s">
        <v>78</v>
      </c>
      <c r="K53" s="81"/>
      <c r="L53" s="81"/>
      <c r="M53" s="81"/>
      <c r="N53" s="81">
        <f>122000</f>
        <v>122000</v>
      </c>
      <c r="O53" s="81"/>
      <c r="P53" s="81"/>
      <c r="Q53" s="81">
        <f t="shared" si="12"/>
        <v>122000</v>
      </c>
      <c r="R53" s="90"/>
    </row>
    <row r="54" spans="1:19" s="56" customFormat="1" ht="221.25" customHeight="1" x14ac:dyDescent="0.25">
      <c r="A54" s="447" t="s">
        <v>341</v>
      </c>
      <c r="B54" s="447"/>
      <c r="C54" s="289" t="s">
        <v>343</v>
      </c>
      <c r="D54" s="69" t="s">
        <v>56</v>
      </c>
      <c r="E54" s="76" t="s">
        <v>74</v>
      </c>
      <c r="F54" s="76" t="s">
        <v>27</v>
      </c>
      <c r="G54" s="77" t="s">
        <v>77</v>
      </c>
      <c r="H54" s="78">
        <v>1</v>
      </c>
      <c r="I54" s="83" t="s">
        <v>340</v>
      </c>
      <c r="J54" s="76" t="s">
        <v>78</v>
      </c>
      <c r="K54" s="81"/>
      <c r="L54" s="81"/>
      <c r="M54" s="81"/>
      <c r="N54" s="81">
        <f>110051.74</f>
        <v>110051.74</v>
      </c>
      <c r="O54" s="81"/>
      <c r="P54" s="81"/>
      <c r="Q54" s="81">
        <f t="shared" si="12"/>
        <v>110051.74</v>
      </c>
      <c r="R54" s="90"/>
    </row>
    <row r="55" spans="1:19" ht="32.25" customHeight="1" x14ac:dyDescent="0.25">
      <c r="A55" s="73"/>
      <c r="B55" s="73"/>
      <c r="C55" s="115" t="s">
        <v>18</v>
      </c>
      <c r="D55" s="69"/>
      <c r="E55" s="115"/>
      <c r="F55" s="115"/>
      <c r="G55" s="77"/>
      <c r="H55" s="78"/>
      <c r="I55" s="71"/>
      <c r="J55" s="115"/>
      <c r="K55" s="81">
        <f t="shared" ref="K55:P55" si="13">SUM(K48:K52)</f>
        <v>2195929.4299999997</v>
      </c>
      <c r="L55" s="81">
        <f t="shared" si="13"/>
        <v>2274926.52</v>
      </c>
      <c r="M55" s="81">
        <f t="shared" si="13"/>
        <v>2296778.4900000002</v>
      </c>
      <c r="N55" s="81">
        <f>SUM(N48:N54)</f>
        <v>2783845.32</v>
      </c>
      <c r="O55" s="81">
        <f t="shared" si="13"/>
        <v>2638085.84</v>
      </c>
      <c r="P55" s="81">
        <f t="shared" si="13"/>
        <v>2638085.84</v>
      </c>
      <c r="Q55" s="81">
        <f>SUM(K55:P55)</f>
        <v>14827651.439999999</v>
      </c>
      <c r="R55" s="91"/>
      <c r="S55" s="8"/>
    </row>
    <row r="56" spans="1:19" ht="45.75" customHeight="1" x14ac:dyDescent="0.25">
      <c r="A56" s="479" t="s">
        <v>16</v>
      </c>
      <c r="B56" s="108" t="s">
        <v>51</v>
      </c>
      <c r="C56" s="482" t="s">
        <v>143</v>
      </c>
      <c r="D56" s="69" t="s">
        <v>141</v>
      </c>
      <c r="E56" s="70"/>
      <c r="F56" s="70"/>
      <c r="G56" s="70"/>
      <c r="H56" s="70"/>
      <c r="I56" s="70"/>
      <c r="J56" s="70"/>
      <c r="K56" s="72">
        <f t="shared" ref="K56:P56" si="14">K79+K91+K110</f>
        <v>41738870.470000006</v>
      </c>
      <c r="L56" s="72">
        <f t="shared" si="14"/>
        <v>34136465.450000003</v>
      </c>
      <c r="M56" s="72">
        <f t="shared" si="14"/>
        <v>35072850.270000003</v>
      </c>
      <c r="N56" s="72">
        <f t="shared" si="14"/>
        <v>42175604.719999999</v>
      </c>
      <c r="O56" s="72">
        <f>O79+O91+O110</f>
        <v>33718876.650000006</v>
      </c>
      <c r="P56" s="72">
        <f t="shared" si="14"/>
        <v>33718876.650000006</v>
      </c>
      <c r="Q56" s="121">
        <f>SUM(K56:P56)</f>
        <v>220561544.21000004</v>
      </c>
      <c r="R56" s="91"/>
      <c r="S56" s="8"/>
    </row>
    <row r="57" spans="1:19" ht="17.25" customHeight="1" x14ac:dyDescent="0.25">
      <c r="A57" s="491"/>
      <c r="B57" s="337"/>
      <c r="C57" s="489"/>
      <c r="D57" s="69" t="s">
        <v>25</v>
      </c>
      <c r="E57" s="70"/>
      <c r="F57" s="70"/>
      <c r="G57" s="70"/>
      <c r="H57" s="70"/>
      <c r="I57" s="70"/>
      <c r="J57" s="70"/>
      <c r="K57" s="72"/>
      <c r="L57" s="70"/>
      <c r="M57" s="70"/>
      <c r="N57" s="70"/>
      <c r="O57" s="70"/>
      <c r="P57" s="70"/>
      <c r="Q57" s="121">
        <f t="shared" ref="Q57" si="15">SUM(K57:M57)</f>
        <v>0</v>
      </c>
      <c r="R57" s="91"/>
      <c r="S57" s="8"/>
    </row>
    <row r="58" spans="1:19" ht="48" customHeight="1" x14ac:dyDescent="0.25">
      <c r="A58" s="491"/>
      <c r="B58" s="337"/>
      <c r="C58" s="489"/>
      <c r="D58" s="69" t="s">
        <v>191</v>
      </c>
      <c r="E58" s="70" t="s">
        <v>48</v>
      </c>
      <c r="F58" s="70" t="s">
        <v>48</v>
      </c>
      <c r="G58" s="70" t="s">
        <v>48</v>
      </c>
      <c r="H58" s="70" t="s">
        <v>48</v>
      </c>
      <c r="I58" s="70" t="s">
        <v>48</v>
      </c>
      <c r="J58" s="70" t="s">
        <v>48</v>
      </c>
      <c r="K58" s="72">
        <f>6181600</f>
        <v>6181600</v>
      </c>
      <c r="L58" s="72">
        <v>0</v>
      </c>
      <c r="M58" s="72">
        <v>0</v>
      </c>
      <c r="N58" s="72">
        <f>N105</f>
        <v>2112480</v>
      </c>
      <c r="O58" s="72"/>
      <c r="P58" s="72"/>
      <c r="Q58" s="121">
        <f>SUM(K58:N58)</f>
        <v>8294080</v>
      </c>
      <c r="R58" s="91"/>
      <c r="S58" s="8"/>
    </row>
    <row r="59" spans="1:19" ht="51" customHeight="1" x14ac:dyDescent="0.25">
      <c r="A59" s="492"/>
      <c r="B59" s="338"/>
      <c r="C59" s="483"/>
      <c r="D59" s="69" t="s">
        <v>192</v>
      </c>
      <c r="E59" s="70" t="s">
        <v>48</v>
      </c>
      <c r="F59" s="70" t="s">
        <v>48</v>
      </c>
      <c r="G59" s="70" t="s">
        <v>48</v>
      </c>
      <c r="H59" s="70" t="s">
        <v>48</v>
      </c>
      <c r="I59" s="70" t="s">
        <v>48</v>
      </c>
      <c r="J59" s="70" t="s">
        <v>48</v>
      </c>
      <c r="K59" s="72">
        <f>556913.66+125691.96+1860000+197569.99</f>
        <v>2740175.6100000003</v>
      </c>
      <c r="L59" s="72">
        <f>L63+L70+L65+L84</f>
        <v>1479370.68</v>
      </c>
      <c r="M59" s="72">
        <f>M84+M86+M87+M63+M70+M65+M72</f>
        <v>1291232.52</v>
      </c>
      <c r="N59" s="72">
        <f>N106+N108+N63+N65+N70+N72+N66+N73</f>
        <v>3514028.64</v>
      </c>
      <c r="O59" s="72"/>
      <c r="P59" s="72"/>
      <c r="Q59" s="121">
        <f>SUM(K59:N59)</f>
        <v>9024807.4500000011</v>
      </c>
      <c r="R59" s="91" t="s">
        <v>158</v>
      </c>
      <c r="S59" s="8"/>
    </row>
    <row r="60" spans="1:19" ht="60" customHeight="1" x14ac:dyDescent="0.25">
      <c r="A60" s="73"/>
      <c r="B60" s="338"/>
      <c r="C60" s="70"/>
      <c r="D60" s="69" t="s">
        <v>193</v>
      </c>
      <c r="E60" s="70" t="s">
        <v>48</v>
      </c>
      <c r="F60" s="70" t="s">
        <v>48</v>
      </c>
      <c r="G60" s="70" t="s">
        <v>48</v>
      </c>
      <c r="H60" s="70" t="s">
        <v>48</v>
      </c>
      <c r="I60" s="70" t="s">
        <v>48</v>
      </c>
      <c r="J60" s="70" t="s">
        <v>48</v>
      </c>
      <c r="K60" s="72">
        <f>K56-K59-K58</f>
        <v>32817094.860000007</v>
      </c>
      <c r="L60" s="72">
        <f>L56-L59</f>
        <v>32657094.770000003</v>
      </c>
      <c r="M60" s="72">
        <f>M56-M59</f>
        <v>33781617.75</v>
      </c>
      <c r="N60" s="72">
        <f>N56-N59-N58</f>
        <v>36549096.079999998</v>
      </c>
      <c r="O60" s="72">
        <f>O56-O59</f>
        <v>33718876.650000006</v>
      </c>
      <c r="P60" s="72">
        <f>P56-P59</f>
        <v>33718876.650000006</v>
      </c>
      <c r="Q60" s="121">
        <f>SUM(K60:P60)</f>
        <v>203242656.76000002</v>
      </c>
      <c r="R60" s="68"/>
      <c r="S60" s="8"/>
    </row>
    <row r="61" spans="1:19" s="11" customFormat="1" ht="15" customHeight="1" x14ac:dyDescent="0.25">
      <c r="A61" s="73" t="s">
        <v>13</v>
      </c>
      <c r="B61" s="74"/>
      <c r="C61" s="459" t="s">
        <v>55</v>
      </c>
      <c r="D61" s="460"/>
      <c r="E61" s="460"/>
      <c r="F61" s="460"/>
      <c r="G61" s="460"/>
      <c r="H61" s="460"/>
      <c r="I61" s="460"/>
      <c r="J61" s="460"/>
      <c r="K61" s="460"/>
      <c r="L61" s="460"/>
      <c r="M61" s="460"/>
      <c r="N61" s="460"/>
      <c r="O61" s="460"/>
      <c r="P61" s="460"/>
      <c r="Q61" s="461"/>
      <c r="R61" s="68"/>
    </row>
    <row r="62" spans="1:19" ht="132" customHeight="1" x14ac:dyDescent="0.25">
      <c r="A62" s="108" t="s">
        <v>30</v>
      </c>
      <c r="B62" s="118"/>
      <c r="C62" s="115" t="s">
        <v>112</v>
      </c>
      <c r="D62" s="115" t="s">
        <v>56</v>
      </c>
      <c r="E62" s="76" t="s">
        <v>74</v>
      </c>
      <c r="F62" s="76" t="s">
        <v>27</v>
      </c>
      <c r="G62" s="77" t="s">
        <v>77</v>
      </c>
      <c r="H62" s="78">
        <v>2</v>
      </c>
      <c r="I62" s="111" t="s">
        <v>244</v>
      </c>
      <c r="J62" s="76" t="s">
        <v>78</v>
      </c>
      <c r="K62" s="81">
        <f>24664296.64-816087.14-125691.96+75619+512753.06+295173.21</f>
        <v>24606062.809999999</v>
      </c>
      <c r="L62" s="81">
        <v>25950759.199999999</v>
      </c>
      <c r="M62" s="81">
        <v>27293234.120000001</v>
      </c>
      <c r="N62" s="81">
        <f>27438036.94-2502.83-717262.69</f>
        <v>26718271.420000002</v>
      </c>
      <c r="O62" s="81">
        <f>N62+2502.83+717262.69</f>
        <v>27438036.940000001</v>
      </c>
      <c r="P62" s="81">
        <f>O62</f>
        <v>27438036.940000001</v>
      </c>
      <c r="Q62" s="81">
        <f>SUM(K62:P62)</f>
        <v>159444401.43000001</v>
      </c>
      <c r="R62" s="341" t="s">
        <v>84</v>
      </c>
    </row>
    <row r="63" spans="1:19" ht="216.75" customHeight="1" x14ac:dyDescent="0.25">
      <c r="A63" s="134"/>
      <c r="B63" s="119"/>
      <c r="C63" s="115" t="s">
        <v>138</v>
      </c>
      <c r="D63" s="115" t="s">
        <v>56</v>
      </c>
      <c r="E63" s="76" t="s">
        <v>74</v>
      </c>
      <c r="F63" s="76" t="s">
        <v>27</v>
      </c>
      <c r="G63" s="77" t="s">
        <v>77</v>
      </c>
      <c r="H63" s="84" t="s">
        <v>16</v>
      </c>
      <c r="I63" s="83" t="s">
        <v>252</v>
      </c>
      <c r="J63" s="76" t="s">
        <v>78</v>
      </c>
      <c r="K63" s="81">
        <f>807926.27-295173.21+60134.56</f>
        <v>572887.62</v>
      </c>
      <c r="L63" s="81">
        <v>882697.37</v>
      </c>
      <c r="M63" s="81">
        <v>184852.22</v>
      </c>
      <c r="N63" s="81">
        <f>167644.95</f>
        <v>167644.95000000001</v>
      </c>
      <c r="O63" s="81"/>
      <c r="P63" s="81"/>
      <c r="Q63" s="81">
        <f t="shared" ref="Q63:Q78" si="16">SUM(K63:O63)</f>
        <v>1808082.16</v>
      </c>
      <c r="R63" s="477"/>
    </row>
    <row r="64" spans="1:19" ht="235.5" customHeight="1" x14ac:dyDescent="0.25">
      <c r="A64" s="134"/>
      <c r="B64" s="119"/>
      <c r="C64" s="115" t="s">
        <v>139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253</v>
      </c>
      <c r="J64" s="83" t="s">
        <v>78</v>
      </c>
      <c r="K64" s="81">
        <v>8160.87</v>
      </c>
      <c r="L64" s="81">
        <v>8916.14</v>
      </c>
      <c r="M64" s="81">
        <v>1989.78</v>
      </c>
      <c r="N64" s="81">
        <f>2502.83</f>
        <v>2502.83</v>
      </c>
      <c r="O64" s="81"/>
      <c r="P64" s="81"/>
      <c r="Q64" s="81">
        <f t="shared" si="16"/>
        <v>21569.619999999995</v>
      </c>
      <c r="R64" s="477"/>
    </row>
    <row r="65" spans="1:19" ht="105" x14ac:dyDescent="0.25">
      <c r="A65" s="134"/>
      <c r="B65" s="119"/>
      <c r="C65" s="115" t="s">
        <v>140</v>
      </c>
      <c r="D65" s="115" t="s">
        <v>56</v>
      </c>
      <c r="E65" s="76" t="s">
        <v>74</v>
      </c>
      <c r="F65" s="83" t="s">
        <v>27</v>
      </c>
      <c r="G65" s="84" t="s">
        <v>77</v>
      </c>
      <c r="H65" s="84" t="s">
        <v>16</v>
      </c>
      <c r="I65" s="83" t="s">
        <v>259</v>
      </c>
      <c r="J65" s="83" t="s">
        <v>78</v>
      </c>
      <c r="K65" s="81">
        <f>125691.96+125691.96+92180</f>
        <v>343563.92000000004</v>
      </c>
      <c r="L65" s="81">
        <v>328353.59999999998</v>
      </c>
      <c r="M65" s="81">
        <v>295385.7</v>
      </c>
      <c r="N65" s="81">
        <f>228070.41</f>
        <v>228070.41</v>
      </c>
      <c r="O65" s="81"/>
      <c r="P65" s="81"/>
      <c r="Q65" s="81">
        <f t="shared" si="16"/>
        <v>1195373.6299999999</v>
      </c>
      <c r="R65" s="477"/>
      <c r="S65" s="8" t="s">
        <v>189</v>
      </c>
    </row>
    <row r="66" spans="1:19" s="56" customFormat="1" ht="89.25" customHeight="1" x14ac:dyDescent="0.25">
      <c r="A66" s="134"/>
      <c r="B66" s="440"/>
      <c r="C66" s="115" t="s">
        <v>343</v>
      </c>
      <c r="D66" s="115" t="s">
        <v>56</v>
      </c>
      <c r="E66" s="76" t="s">
        <v>74</v>
      </c>
      <c r="F66" s="83" t="s">
        <v>27</v>
      </c>
      <c r="G66" s="84" t="s">
        <v>77</v>
      </c>
      <c r="H66" s="84" t="s">
        <v>16</v>
      </c>
      <c r="I66" s="83" t="s">
        <v>340</v>
      </c>
      <c r="J66" s="83" t="s">
        <v>78</v>
      </c>
      <c r="K66" s="81"/>
      <c r="L66" s="81"/>
      <c r="M66" s="81"/>
      <c r="N66" s="81">
        <f>814391.98+443361.62</f>
        <v>1257753.6000000001</v>
      </c>
      <c r="O66" s="81"/>
      <c r="P66" s="81"/>
      <c r="Q66" s="81">
        <f t="shared" si="16"/>
        <v>1257753.6000000001</v>
      </c>
      <c r="R66" s="441"/>
      <c r="S66" s="8"/>
    </row>
    <row r="67" spans="1:19" ht="111" customHeight="1" x14ac:dyDescent="0.25">
      <c r="A67" s="107"/>
      <c r="B67" s="352"/>
      <c r="C67" s="115" t="s">
        <v>113</v>
      </c>
      <c r="D67" s="115" t="s">
        <v>56</v>
      </c>
      <c r="E67" s="76" t="s">
        <v>74</v>
      </c>
      <c r="F67" s="83" t="s">
        <v>27</v>
      </c>
      <c r="G67" s="84" t="s">
        <v>77</v>
      </c>
      <c r="H67" s="84" t="s">
        <v>16</v>
      </c>
      <c r="I67" s="83" t="s">
        <v>247</v>
      </c>
      <c r="J67" s="83" t="s">
        <v>80</v>
      </c>
      <c r="K67" s="81">
        <f>200000+300000+15000</f>
        <v>515000</v>
      </c>
      <c r="L67" s="81">
        <v>0</v>
      </c>
      <c r="M67" s="81">
        <v>0</v>
      </c>
      <c r="N67" s="81"/>
      <c r="O67" s="81"/>
      <c r="P67" s="81"/>
      <c r="Q67" s="81">
        <f t="shared" si="16"/>
        <v>515000</v>
      </c>
      <c r="R67" s="123"/>
    </row>
    <row r="68" spans="1:19" ht="185.25" customHeight="1" x14ac:dyDescent="0.25">
      <c r="A68" s="113"/>
      <c r="B68" s="120"/>
      <c r="C68" s="115" t="s">
        <v>123</v>
      </c>
      <c r="D68" s="115" t="s">
        <v>56</v>
      </c>
      <c r="E68" s="76" t="s">
        <v>74</v>
      </c>
      <c r="F68" s="83" t="s">
        <v>27</v>
      </c>
      <c r="G68" s="84" t="s">
        <v>77</v>
      </c>
      <c r="H68" s="84" t="s">
        <v>16</v>
      </c>
      <c r="I68" s="83" t="s">
        <v>260</v>
      </c>
      <c r="J68" s="83" t="s">
        <v>80</v>
      </c>
      <c r="K68" s="81">
        <v>0</v>
      </c>
      <c r="L68" s="81">
        <v>0</v>
      </c>
      <c r="M68" s="81">
        <v>0</v>
      </c>
      <c r="N68" s="81"/>
      <c r="O68" s="81"/>
      <c r="P68" s="81"/>
      <c r="Q68" s="81">
        <f t="shared" si="16"/>
        <v>0</v>
      </c>
      <c r="R68" s="124"/>
    </row>
    <row r="69" spans="1:19" ht="119.25" customHeight="1" x14ac:dyDescent="0.25">
      <c r="A69" s="108" t="s">
        <v>14</v>
      </c>
      <c r="B69" s="118"/>
      <c r="C69" s="115" t="s">
        <v>111</v>
      </c>
      <c r="D69" s="115" t="s">
        <v>56</v>
      </c>
      <c r="E69" s="76" t="s">
        <v>74</v>
      </c>
      <c r="F69" s="76" t="s">
        <v>27</v>
      </c>
      <c r="G69" s="77" t="s">
        <v>77</v>
      </c>
      <c r="H69" s="84" t="s">
        <v>16</v>
      </c>
      <c r="I69" s="111" t="s">
        <v>244</v>
      </c>
      <c r="J69" s="76" t="s">
        <v>78</v>
      </c>
      <c r="K69" s="81">
        <f>4533475.22-81949.75+58744+44160.6+36969.65+373.44</f>
        <v>4591773.16</v>
      </c>
      <c r="L69" s="81">
        <v>4635728.3499999996</v>
      </c>
      <c r="M69" s="81">
        <v>4787389.63</v>
      </c>
      <c r="N69" s="81">
        <f>4801089.71-116312.86</f>
        <v>4684776.8499999996</v>
      </c>
      <c r="O69" s="81">
        <f>N69+116312.86</f>
        <v>4801089.71</v>
      </c>
      <c r="P69" s="81">
        <f>O69</f>
        <v>4801089.71</v>
      </c>
      <c r="Q69" s="81">
        <f>SUM(K69:P69)</f>
        <v>28301847.410000004</v>
      </c>
      <c r="R69" s="355" t="s">
        <v>85</v>
      </c>
    </row>
    <row r="70" spans="1:19" ht="209.25" customHeight="1" x14ac:dyDescent="0.25">
      <c r="A70" s="134"/>
      <c r="B70" s="119"/>
      <c r="C70" s="115" t="s">
        <v>138</v>
      </c>
      <c r="D70" s="115" t="s">
        <v>56</v>
      </c>
      <c r="E70" s="83" t="s">
        <v>74</v>
      </c>
      <c r="F70" s="83" t="s">
        <v>27</v>
      </c>
      <c r="G70" s="84" t="s">
        <v>77</v>
      </c>
      <c r="H70" s="84" t="s">
        <v>16</v>
      </c>
      <c r="I70" s="83" t="s">
        <v>252</v>
      </c>
      <c r="J70" s="83" t="s">
        <v>78</v>
      </c>
      <c r="K70" s="81">
        <f>81130.25-36969.65</f>
        <v>44160.6</v>
      </c>
      <c r="L70" s="81">
        <v>68319.710000000006</v>
      </c>
      <c r="M70" s="81">
        <v>16169.92</v>
      </c>
      <c r="N70" s="81">
        <f>10950.42</f>
        <v>10950.42</v>
      </c>
      <c r="O70" s="81"/>
      <c r="P70" s="81"/>
      <c r="Q70" s="81">
        <f t="shared" si="16"/>
        <v>139600.65</v>
      </c>
      <c r="R70" s="354"/>
    </row>
    <row r="71" spans="1:19" ht="247.5" customHeight="1" x14ac:dyDescent="0.25">
      <c r="A71" s="113"/>
      <c r="B71" s="332"/>
      <c r="C71" s="115" t="s">
        <v>139</v>
      </c>
      <c r="D71" s="115" t="s">
        <v>56</v>
      </c>
      <c r="E71" s="83" t="s">
        <v>74</v>
      </c>
      <c r="F71" s="83" t="s">
        <v>27</v>
      </c>
      <c r="G71" s="84" t="s">
        <v>77</v>
      </c>
      <c r="H71" s="84" t="s">
        <v>16</v>
      </c>
      <c r="I71" s="83" t="s">
        <v>253</v>
      </c>
      <c r="J71" s="83" t="s">
        <v>78</v>
      </c>
      <c r="K71" s="81">
        <v>446.06</v>
      </c>
      <c r="L71" s="81">
        <v>746.08</v>
      </c>
      <c r="M71" s="81">
        <v>175.92</v>
      </c>
      <c r="N71" s="81"/>
      <c r="O71" s="81"/>
      <c r="P71" s="81"/>
      <c r="Q71" s="81">
        <f t="shared" si="16"/>
        <v>1368.0600000000002</v>
      </c>
      <c r="R71" s="123"/>
    </row>
    <row r="72" spans="1:19" s="51" customFormat="1" ht="132" customHeight="1" x14ac:dyDescent="0.25">
      <c r="A72" s="113"/>
      <c r="B72" s="332"/>
      <c r="C72" s="90" t="s">
        <v>140</v>
      </c>
      <c r="D72" s="302" t="s">
        <v>56</v>
      </c>
      <c r="E72" s="93" t="s">
        <v>74</v>
      </c>
      <c r="F72" s="93" t="s">
        <v>27</v>
      </c>
      <c r="G72" s="94" t="s">
        <v>77</v>
      </c>
      <c r="H72" s="94" t="s">
        <v>16</v>
      </c>
      <c r="I72" s="93" t="s">
        <v>259</v>
      </c>
      <c r="J72" s="93" t="s">
        <v>78</v>
      </c>
      <c r="K72" s="81"/>
      <c r="L72" s="96"/>
      <c r="M72" s="96">
        <v>36824.68</v>
      </c>
      <c r="N72" s="96">
        <f>34329.06</f>
        <v>34329.06</v>
      </c>
      <c r="O72" s="96"/>
      <c r="P72" s="96"/>
      <c r="Q72" s="96">
        <f t="shared" ref="Q72:Q73" si="17">K72+L72+M72+N72</f>
        <v>71153.739999999991</v>
      </c>
      <c r="R72" s="127"/>
    </row>
    <row r="73" spans="1:19" s="56" customFormat="1" ht="132" customHeight="1" x14ac:dyDescent="0.25">
      <c r="A73" s="113"/>
      <c r="B73" s="439"/>
      <c r="C73" s="90" t="s">
        <v>343</v>
      </c>
      <c r="D73" s="302" t="s">
        <v>56</v>
      </c>
      <c r="E73" s="93" t="s">
        <v>74</v>
      </c>
      <c r="F73" s="93" t="s">
        <v>27</v>
      </c>
      <c r="G73" s="94" t="s">
        <v>77</v>
      </c>
      <c r="H73" s="94" t="s">
        <v>16</v>
      </c>
      <c r="I73" s="93" t="s">
        <v>340</v>
      </c>
      <c r="J73" s="93" t="s">
        <v>78</v>
      </c>
      <c r="K73" s="81"/>
      <c r="L73" s="96"/>
      <c r="M73" s="96"/>
      <c r="N73" s="96">
        <f>220105.96+31454.24</f>
        <v>251560.19999999998</v>
      </c>
      <c r="O73" s="96"/>
      <c r="P73" s="96"/>
      <c r="Q73" s="96">
        <f t="shared" si="17"/>
        <v>251560.19999999998</v>
      </c>
      <c r="R73" s="449"/>
    </row>
    <row r="74" spans="1:19" ht="121.5" customHeight="1" x14ac:dyDescent="0.25">
      <c r="A74" s="107"/>
      <c r="B74" s="352"/>
      <c r="C74" s="115" t="s">
        <v>113</v>
      </c>
      <c r="D74" s="115" t="s">
        <v>56</v>
      </c>
      <c r="E74" s="128" t="s">
        <v>74</v>
      </c>
      <c r="F74" s="116" t="s">
        <v>27</v>
      </c>
      <c r="G74" s="129" t="s">
        <v>77</v>
      </c>
      <c r="H74" s="129" t="s">
        <v>16</v>
      </c>
      <c r="I74" s="116" t="s">
        <v>247</v>
      </c>
      <c r="J74" s="116" t="s">
        <v>80</v>
      </c>
      <c r="K74" s="81">
        <v>7000</v>
      </c>
      <c r="L74" s="81">
        <v>0</v>
      </c>
      <c r="M74" s="81">
        <v>0</v>
      </c>
      <c r="N74" s="81"/>
      <c r="O74" s="81"/>
      <c r="P74" s="81"/>
      <c r="Q74" s="81">
        <f t="shared" si="16"/>
        <v>7000</v>
      </c>
      <c r="R74" s="358"/>
    </row>
    <row r="75" spans="1:19" ht="259.5" customHeight="1" x14ac:dyDescent="0.25">
      <c r="A75" s="352" t="s">
        <v>57</v>
      </c>
      <c r="B75" s="352"/>
      <c r="C75" s="115" t="s">
        <v>58</v>
      </c>
      <c r="D75" s="115" t="s">
        <v>56</v>
      </c>
      <c r="E75" s="76"/>
      <c r="F75" s="76"/>
      <c r="G75" s="77"/>
      <c r="H75" s="84"/>
      <c r="I75" s="83"/>
      <c r="J75" s="76"/>
      <c r="K75" s="81"/>
      <c r="L75" s="81"/>
      <c r="M75" s="81"/>
      <c r="N75" s="81"/>
      <c r="O75" s="81"/>
      <c r="P75" s="81"/>
      <c r="Q75" s="81">
        <f t="shared" si="16"/>
        <v>0</v>
      </c>
      <c r="R75" s="131" t="s">
        <v>86</v>
      </c>
    </row>
    <row r="76" spans="1:19" ht="288" customHeight="1" x14ac:dyDescent="0.25">
      <c r="A76" s="332" t="s">
        <v>103</v>
      </c>
      <c r="B76" s="132"/>
      <c r="C76" s="356" t="s">
        <v>153</v>
      </c>
      <c r="D76" s="115" t="s">
        <v>56</v>
      </c>
      <c r="E76" s="76" t="s">
        <v>74</v>
      </c>
      <c r="F76" s="76" t="s">
        <v>27</v>
      </c>
      <c r="G76" s="77" t="s">
        <v>77</v>
      </c>
      <c r="H76" s="84" t="s">
        <v>16</v>
      </c>
      <c r="I76" s="83" t="s">
        <v>261</v>
      </c>
      <c r="J76" s="76" t="s">
        <v>80</v>
      </c>
      <c r="K76" s="81">
        <v>6181600</v>
      </c>
      <c r="L76" s="81">
        <v>0</v>
      </c>
      <c r="M76" s="81">
        <v>0</v>
      </c>
      <c r="N76" s="81"/>
      <c r="O76" s="81"/>
      <c r="P76" s="81"/>
      <c r="Q76" s="81">
        <f t="shared" si="16"/>
        <v>6181600</v>
      </c>
      <c r="R76" s="131" t="s">
        <v>156</v>
      </c>
      <c r="S76" s="9" t="s">
        <v>157</v>
      </c>
    </row>
    <row r="77" spans="1:19" s="24" customFormat="1" ht="106.5" customHeight="1" x14ac:dyDescent="0.25">
      <c r="A77" s="73"/>
      <c r="B77" s="132"/>
      <c r="C77" s="498" t="s">
        <v>172</v>
      </c>
      <c r="D77" s="115" t="s">
        <v>56</v>
      </c>
      <c r="E77" s="128" t="s">
        <v>74</v>
      </c>
      <c r="F77" s="116" t="s">
        <v>27</v>
      </c>
      <c r="G77" s="129" t="s">
        <v>77</v>
      </c>
      <c r="H77" s="129" t="s">
        <v>16</v>
      </c>
      <c r="I77" s="128" t="s">
        <v>255</v>
      </c>
      <c r="J77" s="116" t="s">
        <v>78</v>
      </c>
      <c r="K77" s="81">
        <v>2920.72</v>
      </c>
      <c r="L77" s="81"/>
      <c r="M77" s="81"/>
      <c r="N77" s="81"/>
      <c r="O77" s="81"/>
      <c r="P77" s="81"/>
      <c r="Q77" s="81">
        <f t="shared" si="16"/>
        <v>2920.72</v>
      </c>
      <c r="R77" s="131"/>
    </row>
    <row r="78" spans="1:19" s="24" customFormat="1" ht="77.25" customHeight="1" x14ac:dyDescent="0.25">
      <c r="A78" s="73"/>
      <c r="B78" s="132"/>
      <c r="C78" s="499"/>
      <c r="D78" s="115" t="s">
        <v>56</v>
      </c>
      <c r="E78" s="128" t="s">
        <v>74</v>
      </c>
      <c r="F78" s="116" t="s">
        <v>27</v>
      </c>
      <c r="G78" s="129" t="s">
        <v>77</v>
      </c>
      <c r="H78" s="129" t="s">
        <v>16</v>
      </c>
      <c r="I78" s="116" t="s">
        <v>255</v>
      </c>
      <c r="J78" s="116" t="s">
        <v>78</v>
      </c>
      <c r="K78" s="81">
        <v>42334.71</v>
      </c>
      <c r="L78" s="81"/>
      <c r="M78" s="81"/>
      <c r="N78" s="81"/>
      <c r="O78" s="81"/>
      <c r="P78" s="81"/>
      <c r="Q78" s="81">
        <f t="shared" si="16"/>
        <v>42334.71</v>
      </c>
      <c r="R78" s="131"/>
    </row>
    <row r="79" spans="1:19" ht="15.75" customHeight="1" x14ac:dyDescent="0.25">
      <c r="A79" s="73"/>
      <c r="B79" s="73"/>
      <c r="C79" s="115" t="s">
        <v>15</v>
      </c>
      <c r="D79" s="69"/>
      <c r="E79" s="115"/>
      <c r="F79" s="115"/>
      <c r="G79" s="77"/>
      <c r="H79" s="78"/>
      <c r="I79" s="71"/>
      <c r="J79" s="115"/>
      <c r="K79" s="81">
        <f>SUM(K62:K78)</f>
        <v>36915910.470000006</v>
      </c>
      <c r="L79" s="81">
        <f>SUM(L62:L75)</f>
        <v>31875520.450000003</v>
      </c>
      <c r="M79" s="81">
        <f>SUM(M62:M75)</f>
        <v>32616021.970000003</v>
      </c>
      <c r="N79" s="81">
        <f>SUM(N62:N76)</f>
        <v>33355859.740000002</v>
      </c>
      <c r="O79" s="81">
        <f>SUM(O62:O78)</f>
        <v>32239126.650000002</v>
      </c>
      <c r="P79" s="81">
        <f>SUM(P62:P78)</f>
        <v>32239126.650000002</v>
      </c>
      <c r="Q79" s="81">
        <f>K79+L79+M79+N79+O79+P79</f>
        <v>199241565.93000004</v>
      </c>
      <c r="R79" s="91"/>
    </row>
    <row r="80" spans="1:19" ht="30" customHeight="1" x14ac:dyDescent="0.25">
      <c r="A80" s="73" t="s">
        <v>16</v>
      </c>
      <c r="B80" s="74"/>
      <c r="C80" s="459" t="s">
        <v>59</v>
      </c>
      <c r="D80" s="460"/>
      <c r="E80" s="460"/>
      <c r="F80" s="460"/>
      <c r="G80" s="460"/>
      <c r="H80" s="460"/>
      <c r="I80" s="460"/>
      <c r="J80" s="460"/>
      <c r="K80" s="460"/>
      <c r="L80" s="460"/>
      <c r="M80" s="460"/>
      <c r="N80" s="460"/>
      <c r="O80" s="460"/>
      <c r="P80" s="460"/>
      <c r="Q80" s="461"/>
      <c r="R80" s="90"/>
    </row>
    <row r="81" spans="1:19" ht="32.25" customHeight="1" x14ac:dyDescent="0.25">
      <c r="A81" s="479" t="s">
        <v>17</v>
      </c>
      <c r="B81" s="118"/>
      <c r="C81" s="457" t="s">
        <v>124</v>
      </c>
      <c r="D81" s="287" t="s">
        <v>56</v>
      </c>
      <c r="E81" s="76" t="s">
        <v>74</v>
      </c>
      <c r="F81" s="83" t="s">
        <v>27</v>
      </c>
      <c r="G81" s="84" t="s">
        <v>77</v>
      </c>
      <c r="H81" s="84" t="s">
        <v>16</v>
      </c>
      <c r="I81" s="83" t="s">
        <v>262</v>
      </c>
      <c r="J81" s="76" t="s">
        <v>80</v>
      </c>
      <c r="K81" s="133">
        <f>12000</f>
        <v>12000</v>
      </c>
      <c r="L81" s="133">
        <v>0</v>
      </c>
      <c r="M81" s="133">
        <v>0</v>
      </c>
      <c r="N81" s="133"/>
      <c r="O81" s="133"/>
      <c r="P81" s="133"/>
      <c r="Q81" s="133">
        <f>SUM(K81:M81)</f>
        <v>12000</v>
      </c>
      <c r="R81" s="476" t="s">
        <v>87</v>
      </c>
      <c r="S81" s="9" t="s">
        <v>0</v>
      </c>
    </row>
    <row r="82" spans="1:19" ht="33" customHeight="1" x14ac:dyDescent="0.25">
      <c r="A82" s="481"/>
      <c r="B82" s="119"/>
      <c r="C82" s="497"/>
      <c r="D82" s="287" t="s">
        <v>56</v>
      </c>
      <c r="E82" s="76" t="s">
        <v>74</v>
      </c>
      <c r="F82" s="83" t="s">
        <v>27</v>
      </c>
      <c r="G82" s="84" t="s">
        <v>77</v>
      </c>
      <c r="H82" s="84" t="s">
        <v>16</v>
      </c>
      <c r="I82" s="83" t="s">
        <v>262</v>
      </c>
      <c r="J82" s="76" t="s">
        <v>80</v>
      </c>
      <c r="K82" s="133">
        <f>3400</f>
        <v>3400</v>
      </c>
      <c r="L82" s="133"/>
      <c r="M82" s="133"/>
      <c r="N82" s="133"/>
      <c r="O82" s="133"/>
      <c r="P82" s="133"/>
      <c r="Q82" s="133">
        <v>3400</v>
      </c>
      <c r="R82" s="477"/>
      <c r="S82" s="9" t="s">
        <v>148</v>
      </c>
    </row>
    <row r="83" spans="1:19" ht="82.5" customHeight="1" x14ac:dyDescent="0.25">
      <c r="A83" s="480"/>
      <c r="B83" s="120"/>
      <c r="C83" s="458"/>
      <c r="D83" s="287" t="s">
        <v>56</v>
      </c>
      <c r="E83" s="76" t="s">
        <v>74</v>
      </c>
      <c r="F83" s="83" t="s">
        <v>75</v>
      </c>
      <c r="G83" s="84" t="s">
        <v>77</v>
      </c>
      <c r="H83" s="84" t="s">
        <v>16</v>
      </c>
      <c r="I83" s="83" t="s">
        <v>262</v>
      </c>
      <c r="J83" s="76" t="s">
        <v>80</v>
      </c>
      <c r="K83" s="133">
        <f>18200</f>
        <v>18200</v>
      </c>
      <c r="L83" s="133"/>
      <c r="M83" s="133"/>
      <c r="N83" s="133"/>
      <c r="O83" s="133"/>
      <c r="P83" s="133"/>
      <c r="Q83" s="133">
        <f t="shared" ref="Q83" si="18">SUM(K83:M83)</f>
        <v>18200</v>
      </c>
      <c r="R83" s="478"/>
      <c r="S83" s="9" t="s">
        <v>104</v>
      </c>
    </row>
    <row r="84" spans="1:19" ht="28.5" customHeight="1" x14ac:dyDescent="0.25">
      <c r="A84" s="479" t="s">
        <v>72</v>
      </c>
      <c r="B84" s="330"/>
      <c r="C84" s="514" t="s">
        <v>152</v>
      </c>
      <c r="D84" s="339" t="s">
        <v>56</v>
      </c>
      <c r="E84" s="76" t="s">
        <v>74</v>
      </c>
      <c r="F84" s="83" t="s">
        <v>27</v>
      </c>
      <c r="G84" s="84" t="s">
        <v>77</v>
      </c>
      <c r="H84" s="84" t="s">
        <v>16</v>
      </c>
      <c r="I84" s="83" t="s">
        <v>263</v>
      </c>
      <c r="J84" s="76" t="s">
        <v>80</v>
      </c>
      <c r="K84" s="133">
        <f>1200000</f>
        <v>1200000</v>
      </c>
      <c r="L84" s="133">
        <v>200000</v>
      </c>
      <c r="M84" s="133">
        <v>350000</v>
      </c>
      <c r="N84" s="133"/>
      <c r="O84" s="133"/>
      <c r="P84" s="133"/>
      <c r="Q84" s="133">
        <f>SUM(K84:M84)</f>
        <v>1750000</v>
      </c>
      <c r="R84" s="131"/>
    </row>
    <row r="85" spans="1:19" ht="24" customHeight="1" x14ac:dyDescent="0.25">
      <c r="A85" s="481"/>
      <c r="B85" s="331"/>
      <c r="C85" s="515"/>
      <c r="D85" s="339" t="s">
        <v>56</v>
      </c>
      <c r="E85" s="76" t="s">
        <v>74</v>
      </c>
      <c r="F85" s="83" t="s">
        <v>27</v>
      </c>
      <c r="G85" s="84" t="s">
        <v>77</v>
      </c>
      <c r="H85" s="84" t="s">
        <v>16</v>
      </c>
      <c r="I85" s="83" t="s">
        <v>263</v>
      </c>
      <c r="J85" s="76" t="s">
        <v>80</v>
      </c>
      <c r="K85" s="133">
        <f>340000</f>
        <v>340000</v>
      </c>
      <c r="L85" s="133"/>
      <c r="M85" s="133"/>
      <c r="N85" s="133"/>
      <c r="O85" s="133"/>
      <c r="P85" s="133"/>
      <c r="Q85" s="133">
        <v>340000</v>
      </c>
      <c r="R85" s="333"/>
    </row>
    <row r="86" spans="1:19" ht="53.25" customHeight="1" x14ac:dyDescent="0.25">
      <c r="A86" s="481"/>
      <c r="B86" s="134"/>
      <c r="C86" s="515"/>
      <c r="D86" s="339" t="s">
        <v>56</v>
      </c>
      <c r="E86" s="76" t="s">
        <v>74</v>
      </c>
      <c r="F86" s="83" t="s">
        <v>75</v>
      </c>
      <c r="G86" s="84" t="s">
        <v>77</v>
      </c>
      <c r="H86" s="84" t="s">
        <v>16</v>
      </c>
      <c r="I86" s="83" t="s">
        <v>263</v>
      </c>
      <c r="J86" s="76" t="s">
        <v>80</v>
      </c>
      <c r="K86" s="133">
        <f>320000</f>
        <v>320000</v>
      </c>
      <c r="L86" s="133"/>
      <c r="M86" s="133">
        <v>200000</v>
      </c>
      <c r="N86" s="133"/>
      <c r="O86" s="133"/>
      <c r="P86" s="133"/>
      <c r="Q86" s="133">
        <f>K86+M86</f>
        <v>520000</v>
      </c>
      <c r="R86" s="333"/>
    </row>
    <row r="87" spans="1:19" s="50" customFormat="1" ht="90" customHeight="1" x14ac:dyDescent="0.25">
      <c r="A87" s="480"/>
      <c r="B87" s="113"/>
      <c r="C87" s="516"/>
      <c r="D87" s="115" t="s">
        <v>56</v>
      </c>
      <c r="E87" s="92" t="s">
        <v>74</v>
      </c>
      <c r="F87" s="93" t="s">
        <v>27</v>
      </c>
      <c r="G87" s="94" t="s">
        <v>77</v>
      </c>
      <c r="H87" s="94" t="s">
        <v>16</v>
      </c>
      <c r="I87" s="111" t="s">
        <v>263</v>
      </c>
      <c r="J87" s="352" t="s">
        <v>28</v>
      </c>
      <c r="K87" s="168"/>
      <c r="L87" s="303"/>
      <c r="M87" s="303">
        <v>208000</v>
      </c>
      <c r="N87" s="303"/>
      <c r="O87" s="303"/>
      <c r="P87" s="303"/>
      <c r="Q87" s="303">
        <f t="shared" ref="Q87" si="19">SUM(K87:N87)</f>
        <v>208000</v>
      </c>
      <c r="R87" s="131"/>
    </row>
    <row r="88" spans="1:19" s="35" customFormat="1" ht="75" customHeight="1" x14ac:dyDescent="0.25">
      <c r="A88" s="479" t="s">
        <v>73</v>
      </c>
      <c r="B88" s="479"/>
      <c r="C88" s="514" t="s">
        <v>217</v>
      </c>
      <c r="D88" s="287" t="s">
        <v>56</v>
      </c>
      <c r="E88" s="76" t="s">
        <v>74</v>
      </c>
      <c r="F88" s="83" t="s">
        <v>27</v>
      </c>
      <c r="G88" s="84" t="s">
        <v>77</v>
      </c>
      <c r="H88" s="84" t="s">
        <v>16</v>
      </c>
      <c r="I88" s="85" t="s">
        <v>262</v>
      </c>
      <c r="J88" s="76" t="s">
        <v>80</v>
      </c>
      <c r="K88" s="133"/>
      <c r="L88" s="133">
        <v>2000</v>
      </c>
      <c r="M88" s="133">
        <f>3500+2100+1600</f>
        <v>7200</v>
      </c>
      <c r="N88" s="133"/>
      <c r="O88" s="133"/>
      <c r="P88" s="133"/>
      <c r="Q88" s="133">
        <f t="shared" ref="Q88:Q89" si="20">SUM(K88:M88)</f>
        <v>9200</v>
      </c>
      <c r="R88" s="124"/>
    </row>
    <row r="89" spans="1:19" s="49" customFormat="1" ht="66.75" customHeight="1" x14ac:dyDescent="0.25">
      <c r="A89" s="481"/>
      <c r="B89" s="481"/>
      <c r="C89" s="515"/>
      <c r="D89" s="304" t="s">
        <v>56</v>
      </c>
      <c r="E89" s="305" t="s">
        <v>74</v>
      </c>
      <c r="F89" s="141" t="s">
        <v>75</v>
      </c>
      <c r="G89" s="306" t="s">
        <v>77</v>
      </c>
      <c r="H89" s="306" t="s">
        <v>16</v>
      </c>
      <c r="I89" s="141" t="s">
        <v>262</v>
      </c>
      <c r="J89" s="305" t="s">
        <v>80</v>
      </c>
      <c r="K89" s="133"/>
      <c r="L89" s="133"/>
      <c r="M89" s="133">
        <f>2000+2100</f>
        <v>4100</v>
      </c>
      <c r="N89" s="133"/>
      <c r="O89" s="133"/>
      <c r="P89" s="133"/>
      <c r="Q89" s="133">
        <f t="shared" si="20"/>
        <v>4100</v>
      </c>
      <c r="R89" s="124"/>
    </row>
    <row r="90" spans="1:19" s="50" customFormat="1" ht="105.75" customHeight="1" x14ac:dyDescent="0.25">
      <c r="A90" s="480"/>
      <c r="B90" s="480"/>
      <c r="C90" s="516"/>
      <c r="D90" s="307" t="s">
        <v>56</v>
      </c>
      <c r="E90" s="308" t="s">
        <v>74</v>
      </c>
      <c r="F90" s="309" t="s">
        <v>27</v>
      </c>
      <c r="G90" s="309" t="s">
        <v>77</v>
      </c>
      <c r="H90" s="310" t="s">
        <v>16</v>
      </c>
      <c r="I90" s="311" t="s">
        <v>262</v>
      </c>
      <c r="J90" s="141" t="s">
        <v>28</v>
      </c>
      <c r="K90" s="307"/>
      <c r="L90" s="307"/>
      <c r="M90" s="307">
        <f>4206+94</f>
        <v>4300</v>
      </c>
      <c r="N90" s="307"/>
      <c r="O90" s="307"/>
      <c r="P90" s="307"/>
      <c r="Q90" s="307">
        <f>M90</f>
        <v>4300</v>
      </c>
      <c r="R90" s="124"/>
    </row>
    <row r="91" spans="1:19" ht="27" customHeight="1" x14ac:dyDescent="0.25">
      <c r="A91" s="73"/>
      <c r="B91" s="73"/>
      <c r="C91" s="115" t="s">
        <v>18</v>
      </c>
      <c r="D91" s="69"/>
      <c r="E91" s="115"/>
      <c r="F91" s="115"/>
      <c r="G91" s="77"/>
      <c r="H91" s="78"/>
      <c r="I91" s="71"/>
      <c r="J91" s="115"/>
      <c r="K91" s="133">
        <f>SUM(K81:K86)</f>
        <v>1893600</v>
      </c>
      <c r="L91" s="133">
        <f>SUM(L81:L88)</f>
        <v>202000</v>
      </c>
      <c r="M91" s="133">
        <f>SUM(M81:M90)</f>
        <v>773600</v>
      </c>
      <c r="N91" s="133">
        <f>SUM(N81:N86)</f>
        <v>0</v>
      </c>
      <c r="O91" s="133"/>
      <c r="P91" s="133"/>
      <c r="Q91" s="133">
        <f>SUM(Q81:Q90)</f>
        <v>2869200</v>
      </c>
      <c r="R91" s="91"/>
    </row>
    <row r="92" spans="1:19" ht="18.75" customHeight="1" x14ac:dyDescent="0.25">
      <c r="A92" s="73" t="s">
        <v>19</v>
      </c>
      <c r="B92" s="74"/>
      <c r="C92" s="459" t="s">
        <v>222</v>
      </c>
      <c r="D92" s="460"/>
      <c r="E92" s="460"/>
      <c r="F92" s="460"/>
      <c r="G92" s="460"/>
      <c r="H92" s="460"/>
      <c r="I92" s="460"/>
      <c r="J92" s="460"/>
      <c r="K92" s="460"/>
      <c r="L92" s="460"/>
      <c r="M92" s="460"/>
      <c r="N92" s="460"/>
      <c r="O92" s="460"/>
      <c r="P92" s="460"/>
      <c r="Q92" s="461"/>
      <c r="R92" s="90"/>
    </row>
    <row r="93" spans="1:19" x14ac:dyDescent="0.25">
      <c r="A93" s="479" t="s">
        <v>20</v>
      </c>
      <c r="B93" s="118"/>
      <c r="C93" s="500" t="s">
        <v>60</v>
      </c>
      <c r="D93" s="287" t="s">
        <v>56</v>
      </c>
      <c r="E93" s="76" t="s">
        <v>74</v>
      </c>
      <c r="F93" s="83" t="s">
        <v>27</v>
      </c>
      <c r="G93" s="84" t="s">
        <v>77</v>
      </c>
      <c r="H93" s="84" t="s">
        <v>16</v>
      </c>
      <c r="I93" s="93" t="s">
        <v>248</v>
      </c>
      <c r="J93" s="76" t="s">
        <v>28</v>
      </c>
      <c r="K93" s="81">
        <v>2126280</v>
      </c>
      <c r="L93" s="81">
        <v>0</v>
      </c>
      <c r="M93" s="81">
        <v>0</v>
      </c>
      <c r="N93" s="81">
        <v>0</v>
      </c>
      <c r="O93" s="81"/>
      <c r="P93" s="81"/>
      <c r="Q93" s="81">
        <f>SUM(K93:N93)</f>
        <v>2126280</v>
      </c>
      <c r="R93" s="476" t="s">
        <v>96</v>
      </c>
      <c r="S93" s="30" t="s">
        <v>184</v>
      </c>
    </row>
    <row r="94" spans="1:19" x14ac:dyDescent="0.25">
      <c r="A94" s="481"/>
      <c r="B94" s="119"/>
      <c r="C94" s="501"/>
      <c r="D94" s="287" t="s">
        <v>56</v>
      </c>
      <c r="E94" s="76" t="s">
        <v>74</v>
      </c>
      <c r="F94" s="83" t="s">
        <v>27</v>
      </c>
      <c r="G94" s="84" t="s">
        <v>77</v>
      </c>
      <c r="H94" s="84" t="s">
        <v>16</v>
      </c>
      <c r="I94" s="93" t="s">
        <v>248</v>
      </c>
      <c r="J94" s="76" t="s">
        <v>28</v>
      </c>
      <c r="K94" s="81">
        <v>662220</v>
      </c>
      <c r="L94" s="81">
        <f>345000+65100+10000</f>
        <v>420100</v>
      </c>
      <c r="M94" s="81">
        <f>75500+30000-250+30000+30000+20000</f>
        <v>185250</v>
      </c>
      <c r="N94" s="81">
        <f>120000+59750</f>
        <v>179750</v>
      </c>
      <c r="O94" s="81">
        <f t="shared" ref="O94:P94" si="21">120000+59750</f>
        <v>179750</v>
      </c>
      <c r="P94" s="81">
        <f t="shared" si="21"/>
        <v>179750</v>
      </c>
      <c r="Q94" s="81">
        <f>SUM(K94:P94)</f>
        <v>1806820</v>
      </c>
      <c r="R94" s="477"/>
    </row>
    <row r="95" spans="1:19" x14ac:dyDescent="0.25">
      <c r="A95" s="481"/>
      <c r="B95" s="119"/>
      <c r="C95" s="501"/>
      <c r="D95" s="287" t="s">
        <v>56</v>
      </c>
      <c r="E95" s="76" t="s">
        <v>74</v>
      </c>
      <c r="F95" s="83" t="s">
        <v>75</v>
      </c>
      <c r="G95" s="84" t="s">
        <v>77</v>
      </c>
      <c r="H95" s="84" t="s">
        <v>16</v>
      </c>
      <c r="I95" s="93" t="s">
        <v>248</v>
      </c>
      <c r="J95" s="76" t="s">
        <v>80</v>
      </c>
      <c r="K95" s="81">
        <v>18500</v>
      </c>
      <c r="L95" s="81">
        <f>20000-2050</f>
        <v>17950</v>
      </c>
      <c r="M95" s="81">
        <f>20000-2000-2100-721.7</f>
        <v>15178.3</v>
      </c>
      <c r="N95" s="81">
        <v>20000</v>
      </c>
      <c r="O95" s="81">
        <v>20000</v>
      </c>
      <c r="P95" s="81">
        <v>20000</v>
      </c>
      <c r="Q95" s="81">
        <f>SUM(K95:P95)</f>
        <v>111628.3</v>
      </c>
      <c r="R95" s="477"/>
    </row>
    <row r="96" spans="1:19" ht="42.75" customHeight="1" x14ac:dyDescent="0.25">
      <c r="A96" s="481"/>
      <c r="B96" s="119"/>
      <c r="C96" s="501"/>
      <c r="D96" s="287" t="s">
        <v>56</v>
      </c>
      <c r="E96" s="149" t="s">
        <v>74</v>
      </c>
      <c r="F96" s="150" t="s">
        <v>27</v>
      </c>
      <c r="G96" s="151" t="s">
        <v>77</v>
      </c>
      <c r="H96" s="151" t="s">
        <v>16</v>
      </c>
      <c r="I96" s="93" t="s">
        <v>248</v>
      </c>
      <c r="J96" s="149" t="s">
        <v>80</v>
      </c>
      <c r="K96" s="81"/>
      <c r="L96" s="81">
        <f>1591000+20000+50000-546-2000+80000-80000-37559</f>
        <v>1620895</v>
      </c>
      <c r="M96" s="81">
        <v>1482800</v>
      </c>
      <c r="N96" s="81">
        <f>1067000+110000+103000-13300+150000-239005.02</f>
        <v>1177694.98</v>
      </c>
      <c r="O96" s="81">
        <f t="shared" ref="O96:P96" si="22">1067000+110000+103000</f>
        <v>1280000</v>
      </c>
      <c r="P96" s="81">
        <f t="shared" si="22"/>
        <v>1280000</v>
      </c>
      <c r="Q96" s="81">
        <f>SUM(K96:P96)</f>
        <v>6841389.9800000004</v>
      </c>
      <c r="R96" s="477"/>
    </row>
    <row r="97" spans="1:18" ht="30" hidden="1" x14ac:dyDescent="0.25">
      <c r="A97" s="481"/>
      <c r="B97" s="119"/>
      <c r="C97" s="501"/>
      <c r="D97" s="287" t="s">
        <v>162</v>
      </c>
      <c r="E97" s="76" t="s">
        <v>74</v>
      </c>
      <c r="F97" s="76" t="s">
        <v>27</v>
      </c>
      <c r="G97" s="77" t="s">
        <v>77</v>
      </c>
      <c r="H97" s="84" t="s">
        <v>16</v>
      </c>
      <c r="I97" s="83" t="s">
        <v>99</v>
      </c>
      <c r="J97" s="76" t="s">
        <v>80</v>
      </c>
      <c r="K97" s="81">
        <v>0</v>
      </c>
      <c r="L97" s="81">
        <f>15000+10000+20000+20000+10000+33000+10000+15000+869000+10000+20000+30000+16000+20000</f>
        <v>1098000</v>
      </c>
      <c r="M97" s="81">
        <f>15000+10000+20000+20000+10000+33000+10000+15000+869000+10000+20000+30000+16000+20000+200000</f>
        <v>1298000</v>
      </c>
      <c r="N97" s="81">
        <f>15000+10000+20000+20000+10000+33000+10000+15000+869000+10000+20000+30000+16000+20000+200000</f>
        <v>1298000</v>
      </c>
      <c r="O97" s="81">
        <f>15000+10000+20000+20000+10000+33000+10000+15000+869000+10000+20000+30000+16000+20000+200000</f>
        <v>1298000</v>
      </c>
      <c r="P97" s="81"/>
      <c r="Q97" s="81">
        <f t="shared" ref="Q97:Q107" si="23">SUM(K97:O97)</f>
        <v>4992000</v>
      </c>
      <c r="R97" s="477"/>
    </row>
    <row r="98" spans="1:18" hidden="1" x14ac:dyDescent="0.25">
      <c r="A98" s="481"/>
      <c r="B98" s="119"/>
      <c r="C98" s="501"/>
      <c r="D98" s="287" t="s">
        <v>165</v>
      </c>
      <c r="E98" s="76" t="s">
        <v>74</v>
      </c>
      <c r="F98" s="83" t="s">
        <v>27</v>
      </c>
      <c r="G98" s="84" t="s">
        <v>77</v>
      </c>
      <c r="H98" s="84" t="s">
        <v>16</v>
      </c>
      <c r="I98" s="83" t="s">
        <v>99</v>
      </c>
      <c r="J98" s="76" t="s">
        <v>80</v>
      </c>
      <c r="K98" s="81">
        <v>0</v>
      </c>
      <c r="L98" s="81">
        <v>110000</v>
      </c>
      <c r="M98" s="81">
        <v>110000</v>
      </c>
      <c r="N98" s="81">
        <v>110000</v>
      </c>
      <c r="O98" s="81">
        <v>110000</v>
      </c>
      <c r="P98" s="81"/>
      <c r="Q98" s="81">
        <f t="shared" si="23"/>
        <v>440000</v>
      </c>
      <c r="R98" s="477"/>
    </row>
    <row r="99" spans="1:18" hidden="1" x14ac:dyDescent="0.25">
      <c r="A99" s="481"/>
      <c r="B99" s="119"/>
      <c r="C99" s="501"/>
      <c r="D99" s="287" t="s">
        <v>163</v>
      </c>
      <c r="E99" s="76" t="s">
        <v>74</v>
      </c>
      <c r="F99" s="83" t="s">
        <v>27</v>
      </c>
      <c r="G99" s="84" t="s">
        <v>77</v>
      </c>
      <c r="H99" s="84" t="s">
        <v>16</v>
      </c>
      <c r="I99" s="83" t="s">
        <v>99</v>
      </c>
      <c r="J99" s="76" t="s">
        <v>80</v>
      </c>
      <c r="K99" s="81">
        <v>0</v>
      </c>
      <c r="L99" s="81">
        <f>60000+20000+28000+15000</f>
        <v>123000</v>
      </c>
      <c r="M99" s="81">
        <f t="shared" ref="M99:O99" si="24">60000+20000+28000+15000</f>
        <v>123000</v>
      </c>
      <c r="N99" s="81">
        <f t="shared" si="24"/>
        <v>123000</v>
      </c>
      <c r="O99" s="81">
        <f t="shared" si="24"/>
        <v>123000</v>
      </c>
      <c r="P99" s="81"/>
      <c r="Q99" s="81">
        <f t="shared" si="23"/>
        <v>492000</v>
      </c>
      <c r="R99" s="477"/>
    </row>
    <row r="100" spans="1:18" hidden="1" x14ac:dyDescent="0.25">
      <c r="A100" s="481"/>
      <c r="B100" s="119"/>
      <c r="C100" s="501"/>
      <c r="D100" s="287" t="s">
        <v>164</v>
      </c>
      <c r="E100" s="76" t="s">
        <v>74</v>
      </c>
      <c r="F100" s="83" t="s">
        <v>27</v>
      </c>
      <c r="G100" s="84" t="s">
        <v>77</v>
      </c>
      <c r="H100" s="84" t="s">
        <v>16</v>
      </c>
      <c r="I100" s="83" t="s">
        <v>99</v>
      </c>
      <c r="J100" s="76" t="s">
        <v>80</v>
      </c>
      <c r="K100" s="81">
        <v>0</v>
      </c>
      <c r="L100" s="81">
        <f>10000+20000+15000</f>
        <v>45000</v>
      </c>
      <c r="M100" s="81">
        <f t="shared" ref="M100:O100" si="25">10000+20000+15000</f>
        <v>45000</v>
      </c>
      <c r="N100" s="81">
        <f t="shared" si="25"/>
        <v>45000</v>
      </c>
      <c r="O100" s="81">
        <f t="shared" si="25"/>
        <v>45000</v>
      </c>
      <c r="P100" s="81"/>
      <c r="Q100" s="81">
        <f t="shared" si="23"/>
        <v>180000</v>
      </c>
      <c r="R100" s="477"/>
    </row>
    <row r="101" spans="1:18" ht="30" hidden="1" x14ac:dyDescent="0.25">
      <c r="A101" s="481"/>
      <c r="B101" s="119"/>
      <c r="C101" s="501"/>
      <c r="D101" s="287" t="s">
        <v>166</v>
      </c>
      <c r="E101" s="149" t="s">
        <v>74</v>
      </c>
      <c r="F101" s="150" t="s">
        <v>75</v>
      </c>
      <c r="G101" s="151" t="s">
        <v>77</v>
      </c>
      <c r="H101" s="151" t="s">
        <v>16</v>
      </c>
      <c r="I101" s="150" t="s">
        <v>99</v>
      </c>
      <c r="J101" s="149" t="s">
        <v>80</v>
      </c>
      <c r="K101" s="152">
        <v>18500</v>
      </c>
      <c r="L101" s="152">
        <f>10000+10000</f>
        <v>20000</v>
      </c>
      <c r="M101" s="152">
        <f t="shared" ref="M101:O101" si="26">10000+10000</f>
        <v>20000</v>
      </c>
      <c r="N101" s="152">
        <f t="shared" si="26"/>
        <v>20000</v>
      </c>
      <c r="O101" s="152">
        <f t="shared" si="26"/>
        <v>20000</v>
      </c>
      <c r="P101" s="152"/>
      <c r="Q101" s="81">
        <f t="shared" si="23"/>
        <v>98500</v>
      </c>
      <c r="R101" s="477"/>
    </row>
    <row r="102" spans="1:18" ht="15.75" customHeight="1" x14ac:dyDescent="0.25">
      <c r="A102" s="479" t="s">
        <v>98</v>
      </c>
      <c r="B102" s="118"/>
      <c r="C102" s="457" t="s">
        <v>114</v>
      </c>
      <c r="D102" s="457" t="s">
        <v>56</v>
      </c>
      <c r="E102" s="504" t="s">
        <v>74</v>
      </c>
      <c r="F102" s="504" t="s">
        <v>27</v>
      </c>
      <c r="G102" s="506" t="s">
        <v>77</v>
      </c>
      <c r="H102" s="508" t="s">
        <v>16</v>
      </c>
      <c r="I102" s="510" t="s">
        <v>247</v>
      </c>
      <c r="J102" s="504" t="s">
        <v>28</v>
      </c>
      <c r="K102" s="512">
        <f>300000-29040-15000-100000-33600</f>
        <v>122360</v>
      </c>
      <c r="L102" s="512">
        <v>0</v>
      </c>
      <c r="M102" s="512">
        <v>0</v>
      </c>
      <c r="N102" s="512"/>
      <c r="O102" s="512"/>
      <c r="P102" s="512"/>
      <c r="Q102" s="512">
        <f t="shared" si="23"/>
        <v>122360</v>
      </c>
      <c r="R102" s="153"/>
    </row>
    <row r="103" spans="1:18" ht="117.75" customHeight="1" x14ac:dyDescent="0.25">
      <c r="A103" s="480"/>
      <c r="B103" s="120"/>
      <c r="C103" s="458"/>
      <c r="D103" s="458"/>
      <c r="E103" s="505"/>
      <c r="F103" s="505"/>
      <c r="G103" s="507"/>
      <c r="H103" s="509"/>
      <c r="I103" s="511"/>
      <c r="J103" s="505"/>
      <c r="K103" s="513"/>
      <c r="L103" s="513"/>
      <c r="M103" s="513"/>
      <c r="N103" s="513"/>
      <c r="O103" s="513"/>
      <c r="P103" s="513"/>
      <c r="Q103" s="513"/>
      <c r="R103" s="154"/>
    </row>
    <row r="104" spans="1:18" s="56" customFormat="1" ht="270.75" customHeight="1" x14ac:dyDescent="0.25">
      <c r="A104" s="411" t="s">
        <v>300</v>
      </c>
      <c r="B104" s="379"/>
      <c r="C104" s="438" t="s">
        <v>339</v>
      </c>
      <c r="D104" s="115" t="s">
        <v>56</v>
      </c>
      <c r="E104" s="92" t="s">
        <v>74</v>
      </c>
      <c r="F104" s="93" t="s">
        <v>27</v>
      </c>
      <c r="G104" s="94" t="s">
        <v>77</v>
      </c>
      <c r="H104" s="94" t="s">
        <v>16</v>
      </c>
      <c r="I104" s="86" t="s">
        <v>338</v>
      </c>
      <c r="J104" s="378" t="s">
        <v>80</v>
      </c>
      <c r="K104" s="158"/>
      <c r="L104" s="158"/>
      <c r="M104" s="158"/>
      <c r="N104" s="158">
        <f>752800</f>
        <v>752800</v>
      </c>
      <c r="O104" s="158"/>
      <c r="P104" s="158"/>
      <c r="Q104" s="81">
        <f t="shared" si="23"/>
        <v>752800</v>
      </c>
      <c r="R104" s="154"/>
    </row>
    <row r="105" spans="1:18" s="56" customFormat="1" ht="270.75" customHeight="1" x14ac:dyDescent="0.25">
      <c r="A105" s="411" t="s">
        <v>316</v>
      </c>
      <c r="B105" s="411"/>
      <c r="C105" s="409" t="s">
        <v>317</v>
      </c>
      <c r="D105" s="115" t="s">
        <v>56</v>
      </c>
      <c r="E105" s="92" t="s">
        <v>74</v>
      </c>
      <c r="F105" s="93" t="s">
        <v>27</v>
      </c>
      <c r="G105" s="94" t="s">
        <v>77</v>
      </c>
      <c r="H105" s="94" t="s">
        <v>16</v>
      </c>
      <c r="I105" s="86" t="s">
        <v>318</v>
      </c>
      <c r="J105" s="410" t="s">
        <v>80</v>
      </c>
      <c r="K105" s="158"/>
      <c r="L105" s="158"/>
      <c r="M105" s="158"/>
      <c r="N105" s="158">
        <f>2112480</f>
        <v>2112480</v>
      </c>
      <c r="O105" s="158"/>
      <c r="P105" s="158"/>
      <c r="Q105" s="81">
        <f t="shared" si="23"/>
        <v>2112480</v>
      </c>
      <c r="R105" s="154"/>
    </row>
    <row r="106" spans="1:18" s="56" customFormat="1" ht="270.75" customHeight="1" x14ac:dyDescent="0.25">
      <c r="A106" s="411" t="s">
        <v>319</v>
      </c>
      <c r="B106" s="411"/>
      <c r="C106" s="414" t="s">
        <v>317</v>
      </c>
      <c r="D106" s="115" t="s">
        <v>56</v>
      </c>
      <c r="E106" s="92" t="s">
        <v>74</v>
      </c>
      <c r="F106" s="93" t="s">
        <v>27</v>
      </c>
      <c r="G106" s="94" t="s">
        <v>77</v>
      </c>
      <c r="H106" s="94" t="s">
        <v>16</v>
      </c>
      <c r="I106" s="86" t="s">
        <v>318</v>
      </c>
      <c r="J106" s="415" t="s">
        <v>80</v>
      </c>
      <c r="K106" s="158"/>
      <c r="L106" s="158"/>
      <c r="M106" s="158"/>
      <c r="N106" s="158">
        <v>234720</v>
      </c>
      <c r="O106" s="158"/>
      <c r="P106" s="158"/>
      <c r="Q106" s="81">
        <f t="shared" si="23"/>
        <v>234720</v>
      </c>
      <c r="R106" s="154"/>
    </row>
    <row r="107" spans="1:18" s="56" customFormat="1" ht="328.5" customHeight="1" x14ac:dyDescent="0.25">
      <c r="A107" s="413" t="s">
        <v>320</v>
      </c>
      <c r="B107" s="413"/>
      <c r="C107" s="424" t="s">
        <v>322</v>
      </c>
      <c r="D107" s="115" t="s">
        <v>56</v>
      </c>
      <c r="E107" s="418" t="s">
        <v>74</v>
      </c>
      <c r="F107" s="419" t="s">
        <v>27</v>
      </c>
      <c r="G107" s="420" t="s">
        <v>77</v>
      </c>
      <c r="H107" s="420" t="s">
        <v>16</v>
      </c>
      <c r="I107" s="407" t="s">
        <v>321</v>
      </c>
      <c r="J107" s="416" t="s">
        <v>80</v>
      </c>
      <c r="K107" s="158"/>
      <c r="L107" s="158"/>
      <c r="M107" s="158"/>
      <c r="N107" s="158">
        <f>13300</f>
        <v>13300</v>
      </c>
      <c r="O107" s="158"/>
      <c r="P107" s="158"/>
      <c r="Q107" s="81">
        <f t="shared" si="23"/>
        <v>13300</v>
      </c>
      <c r="R107" s="154"/>
    </row>
    <row r="108" spans="1:18" s="56" customFormat="1" ht="333.75" customHeight="1" x14ac:dyDescent="0.25">
      <c r="A108" s="423" t="s">
        <v>323</v>
      </c>
      <c r="B108" s="423"/>
      <c r="C108" s="424" t="s">
        <v>324</v>
      </c>
      <c r="D108" s="115" t="s">
        <v>56</v>
      </c>
      <c r="E108" s="418" t="s">
        <v>74</v>
      </c>
      <c r="F108" s="419" t="s">
        <v>27</v>
      </c>
      <c r="G108" s="420" t="s">
        <v>77</v>
      </c>
      <c r="H108" s="420" t="s">
        <v>16</v>
      </c>
      <c r="I108" s="407" t="s">
        <v>325</v>
      </c>
      <c r="J108" s="422" t="s">
        <v>80</v>
      </c>
      <c r="K108" s="158"/>
      <c r="L108" s="158"/>
      <c r="M108" s="158"/>
      <c r="N108" s="158">
        <f>1329000</f>
        <v>1329000</v>
      </c>
      <c r="O108" s="158"/>
      <c r="P108" s="158"/>
      <c r="Q108" s="81">
        <v>1329000</v>
      </c>
      <c r="R108" s="154"/>
    </row>
    <row r="109" spans="1:18" s="56" customFormat="1" ht="333.75" customHeight="1" x14ac:dyDescent="0.25">
      <c r="A109" s="452" t="s">
        <v>346</v>
      </c>
      <c r="B109" s="452"/>
      <c r="C109" s="453" t="s">
        <v>348</v>
      </c>
      <c r="D109" s="453" t="s">
        <v>56</v>
      </c>
      <c r="E109" s="92" t="s">
        <v>74</v>
      </c>
      <c r="F109" s="93" t="s">
        <v>27</v>
      </c>
      <c r="G109" s="94" t="s">
        <v>77</v>
      </c>
      <c r="H109" s="94" t="s">
        <v>16</v>
      </c>
      <c r="I109" s="86" t="s">
        <v>347</v>
      </c>
      <c r="J109" s="451" t="s">
        <v>80</v>
      </c>
      <c r="K109" s="158"/>
      <c r="L109" s="158"/>
      <c r="M109" s="158"/>
      <c r="N109" s="158">
        <f>3000000</f>
        <v>3000000</v>
      </c>
      <c r="O109" s="158"/>
      <c r="P109" s="158"/>
      <c r="Q109" s="81">
        <f>N109</f>
        <v>3000000</v>
      </c>
      <c r="R109" s="154"/>
    </row>
    <row r="110" spans="1:18" ht="32.25" customHeight="1" x14ac:dyDescent="0.25">
      <c r="A110" s="120"/>
      <c r="B110" s="120"/>
      <c r="C110" s="288" t="s">
        <v>21</v>
      </c>
      <c r="D110" s="285"/>
      <c r="E110" s="288"/>
      <c r="F110" s="288"/>
      <c r="G110" s="155"/>
      <c r="H110" s="156"/>
      <c r="I110" s="157"/>
      <c r="J110" s="288"/>
      <c r="K110" s="158">
        <f>K93+K94+K95+K96+K102+K103</f>
        <v>2929360</v>
      </c>
      <c r="L110" s="158">
        <f>SUM(L94:L96)</f>
        <v>2058945</v>
      </c>
      <c r="M110" s="158">
        <f>SUM(M94:M96)</f>
        <v>1683228.3</v>
      </c>
      <c r="N110" s="158">
        <f>N94+N95+N96+N102+N104+N105+N106+N107+N108+N109</f>
        <v>8819744.9800000004</v>
      </c>
      <c r="O110" s="158">
        <f t="shared" ref="O110:P110" si="27">SUM(O94:O96)</f>
        <v>1479750</v>
      </c>
      <c r="P110" s="158">
        <f t="shared" si="27"/>
        <v>1479750</v>
      </c>
      <c r="Q110" s="81">
        <f>SUM(K110:P110)</f>
        <v>18450778.280000001</v>
      </c>
      <c r="R110" s="91"/>
    </row>
    <row r="111" spans="1:18" ht="30" x14ac:dyDescent="0.25">
      <c r="A111" s="479" t="s">
        <v>19</v>
      </c>
      <c r="B111" s="494" t="s">
        <v>53</v>
      </c>
      <c r="C111" s="482" t="s">
        <v>195</v>
      </c>
      <c r="D111" s="69" t="s">
        <v>141</v>
      </c>
      <c r="E111" s="70"/>
      <c r="F111" s="70"/>
      <c r="G111" s="70"/>
      <c r="H111" s="70"/>
      <c r="I111" s="70"/>
      <c r="J111" s="70"/>
      <c r="K111" s="72">
        <f t="shared" ref="K111:P111" si="28">K132+K135+K144+K169+K182</f>
        <v>13644150.699999999</v>
      </c>
      <c r="L111" s="72">
        <f t="shared" si="28"/>
        <v>15354612.059999999</v>
      </c>
      <c r="M111" s="72">
        <f t="shared" si="28"/>
        <v>13714969.579999996</v>
      </c>
      <c r="N111" s="72">
        <f t="shared" si="28"/>
        <v>29893916.189999998</v>
      </c>
      <c r="O111" s="72">
        <f t="shared" si="28"/>
        <v>12456691.630000001</v>
      </c>
      <c r="P111" s="72">
        <f t="shared" si="28"/>
        <v>12456691.630000001</v>
      </c>
      <c r="Q111" s="121">
        <f>SUM(K111:P111)</f>
        <v>97521031.789999992</v>
      </c>
      <c r="R111" s="90"/>
    </row>
    <row r="112" spans="1:18" x14ac:dyDescent="0.25">
      <c r="A112" s="481"/>
      <c r="B112" s="495"/>
      <c r="C112" s="491"/>
      <c r="D112" s="69" t="s">
        <v>25</v>
      </c>
      <c r="E112" s="70"/>
      <c r="F112" s="70"/>
      <c r="G112" s="70"/>
      <c r="H112" s="70"/>
      <c r="I112" s="70"/>
      <c r="J112" s="70"/>
      <c r="K112" s="72"/>
      <c r="L112" s="70"/>
      <c r="M112" s="70"/>
      <c r="N112" s="70"/>
      <c r="O112" s="70"/>
      <c r="P112" s="70"/>
      <c r="Q112" s="121">
        <f t="shared" ref="Q112:Q116" si="29">SUM(K112:O112)</f>
        <v>0</v>
      </c>
      <c r="R112" s="90"/>
    </row>
    <row r="113" spans="1:19" s="54" customFormat="1" ht="45" x14ac:dyDescent="0.25">
      <c r="A113" s="481"/>
      <c r="B113" s="495"/>
      <c r="C113" s="491"/>
      <c r="D113" s="69" t="s">
        <v>287</v>
      </c>
      <c r="E113" s="70" t="s">
        <v>48</v>
      </c>
      <c r="F113" s="70" t="s">
        <v>48</v>
      </c>
      <c r="G113" s="70" t="s">
        <v>48</v>
      </c>
      <c r="H113" s="70" t="s">
        <v>48</v>
      </c>
      <c r="I113" s="70" t="s">
        <v>48</v>
      </c>
      <c r="J113" s="70" t="s">
        <v>48</v>
      </c>
      <c r="K113" s="72"/>
      <c r="L113" s="70"/>
      <c r="M113" s="72">
        <f>M130</f>
        <v>35360</v>
      </c>
      <c r="N113" s="70"/>
      <c r="O113" s="70"/>
      <c r="P113" s="70"/>
      <c r="Q113" s="121">
        <f t="shared" si="29"/>
        <v>35360</v>
      </c>
      <c r="R113" s="90"/>
    </row>
    <row r="114" spans="1:19" ht="63.75" customHeight="1" x14ac:dyDescent="0.25">
      <c r="A114" s="481"/>
      <c r="B114" s="495"/>
      <c r="C114" s="491"/>
      <c r="D114" s="69" t="s">
        <v>192</v>
      </c>
      <c r="E114" s="70" t="s">
        <v>48</v>
      </c>
      <c r="F114" s="70" t="s">
        <v>48</v>
      </c>
      <c r="G114" s="70" t="s">
        <v>48</v>
      </c>
      <c r="H114" s="70" t="s">
        <v>48</v>
      </c>
      <c r="I114" s="70" t="s">
        <v>48</v>
      </c>
      <c r="J114" s="70" t="s">
        <v>48</v>
      </c>
      <c r="K114" s="72">
        <f>425269.2+65974.35+400000+76955.72</f>
        <v>968199.27</v>
      </c>
      <c r="L114" s="72">
        <f>L120+L122+L124+L128+L161+L162+L163+L179</f>
        <v>1262658.05</v>
      </c>
      <c r="M114" s="72">
        <f>M120+M122+M124+M155+M180+M181</f>
        <v>877730.3</v>
      </c>
      <c r="N114" s="72">
        <f>N120+N122+N165+N166+N123</f>
        <v>12933410.549999999</v>
      </c>
      <c r="O114" s="72"/>
      <c r="P114" s="72"/>
      <c r="Q114" s="121">
        <f t="shared" si="29"/>
        <v>16041998.169999998</v>
      </c>
      <c r="R114" s="90"/>
    </row>
    <row r="115" spans="1:19" ht="64.5" customHeight="1" x14ac:dyDescent="0.25">
      <c r="A115" s="481"/>
      <c r="B115" s="495"/>
      <c r="C115" s="491"/>
      <c r="D115" s="69" t="s">
        <v>193</v>
      </c>
      <c r="E115" s="70" t="s">
        <v>48</v>
      </c>
      <c r="F115" s="70" t="s">
        <v>48</v>
      </c>
      <c r="G115" s="70" t="s">
        <v>48</v>
      </c>
      <c r="H115" s="70" t="s">
        <v>48</v>
      </c>
      <c r="I115" s="70" t="s">
        <v>48</v>
      </c>
      <c r="J115" s="70" t="s">
        <v>48</v>
      </c>
      <c r="K115" s="72">
        <f>K132+K135+K144+K169+K182-K114</f>
        <v>12675951.43</v>
      </c>
      <c r="L115" s="72">
        <f>L132+L135+L144+L169+L182-L114</f>
        <v>14091954.009999998</v>
      </c>
      <c r="M115" s="72">
        <v>12801879.279999999</v>
      </c>
      <c r="N115" s="72">
        <f>N132+N135+N144+N169+N182-N114</f>
        <v>16960505.640000001</v>
      </c>
      <c r="O115" s="72">
        <f>O132+O135+O144+O169+O182-O114</f>
        <v>12456691.630000001</v>
      </c>
      <c r="P115" s="72">
        <f>P132+P135+P144+P169+P182-P114</f>
        <v>12456691.630000001</v>
      </c>
      <c r="Q115" s="121">
        <f>SUM(K115:P115)</f>
        <v>81443673.61999999</v>
      </c>
      <c r="R115" s="90"/>
    </row>
    <row r="116" spans="1:19" ht="0.75" hidden="1" customHeight="1" x14ac:dyDescent="0.25">
      <c r="A116" s="480"/>
      <c r="B116" s="496"/>
      <c r="C116" s="492"/>
      <c r="D116" s="69"/>
      <c r="E116" s="70"/>
      <c r="F116" s="70"/>
      <c r="G116" s="70"/>
      <c r="H116" s="70"/>
      <c r="I116" s="70"/>
      <c r="J116" s="70"/>
      <c r="K116" s="72"/>
      <c r="L116" s="72"/>
      <c r="M116" s="72"/>
      <c r="N116" s="72"/>
      <c r="O116" s="72"/>
      <c r="P116" s="72"/>
      <c r="Q116" s="121">
        <f t="shared" si="29"/>
        <v>0</v>
      </c>
      <c r="R116" s="68"/>
    </row>
    <row r="117" spans="1:19" ht="32.25" customHeight="1" x14ac:dyDescent="0.25">
      <c r="A117" s="73" t="s">
        <v>13</v>
      </c>
      <c r="B117" s="74"/>
      <c r="C117" s="459" t="s">
        <v>32</v>
      </c>
      <c r="D117" s="460"/>
      <c r="E117" s="460"/>
      <c r="F117" s="460"/>
      <c r="G117" s="460"/>
      <c r="H117" s="460"/>
      <c r="I117" s="460"/>
      <c r="J117" s="460"/>
      <c r="K117" s="460"/>
      <c r="L117" s="460"/>
      <c r="M117" s="460"/>
      <c r="N117" s="460"/>
      <c r="O117" s="460"/>
      <c r="P117" s="460"/>
      <c r="Q117" s="461"/>
      <c r="R117" s="68"/>
    </row>
    <row r="118" spans="1:19" ht="90" x14ac:dyDescent="0.25">
      <c r="A118" s="108" t="s">
        <v>30</v>
      </c>
      <c r="B118" s="118"/>
      <c r="C118" s="115" t="s">
        <v>125</v>
      </c>
      <c r="D118" s="115" t="s">
        <v>56</v>
      </c>
      <c r="E118" s="76" t="s">
        <v>74</v>
      </c>
      <c r="F118" s="76" t="s">
        <v>75</v>
      </c>
      <c r="G118" s="77" t="s">
        <v>77</v>
      </c>
      <c r="H118" s="78">
        <v>3</v>
      </c>
      <c r="I118" s="111" t="s">
        <v>244</v>
      </c>
      <c r="J118" s="76" t="s">
        <v>78</v>
      </c>
      <c r="K118" s="81">
        <f>8302599.58+430220</f>
        <v>8732819.5800000001</v>
      </c>
      <c r="L118" s="81">
        <v>9721438.6699999999</v>
      </c>
      <c r="M118" s="81">
        <f>9858916.43+260711.73+309600+63011.11-202.52-205.01</f>
        <v>10491831.74</v>
      </c>
      <c r="N118" s="81">
        <f>10451508.17</f>
        <v>10451508.17</v>
      </c>
      <c r="O118" s="81">
        <f>N118</f>
        <v>10451508.17</v>
      </c>
      <c r="P118" s="81">
        <f>O118</f>
        <v>10451508.17</v>
      </c>
      <c r="Q118" s="81">
        <f>SUM(K118:P118)</f>
        <v>60300614.500000007</v>
      </c>
      <c r="R118" s="122" t="s">
        <v>88</v>
      </c>
    </row>
    <row r="119" spans="1:19" s="24" customFormat="1" ht="187.5" customHeight="1" x14ac:dyDescent="0.25">
      <c r="A119" s="113"/>
      <c r="B119" s="332"/>
      <c r="C119" s="115" t="s">
        <v>172</v>
      </c>
      <c r="D119" s="115" t="s">
        <v>56</v>
      </c>
      <c r="E119" s="76" t="s">
        <v>74</v>
      </c>
      <c r="F119" s="83" t="s">
        <v>75</v>
      </c>
      <c r="G119" s="84" t="s">
        <v>77</v>
      </c>
      <c r="H119" s="78">
        <v>3</v>
      </c>
      <c r="I119" s="83" t="s">
        <v>255</v>
      </c>
      <c r="J119" s="83" t="s">
        <v>78</v>
      </c>
      <c r="K119" s="81">
        <v>13524.67</v>
      </c>
      <c r="L119" s="81"/>
      <c r="M119" s="81"/>
      <c r="N119" s="81"/>
      <c r="O119" s="81"/>
      <c r="P119" s="81"/>
      <c r="Q119" s="81">
        <f t="shared" ref="Q119:Q131" si="30">SUM(K119:O119)</f>
        <v>13524.67</v>
      </c>
      <c r="R119" s="123"/>
    </row>
    <row r="120" spans="1:19" ht="219" customHeight="1" x14ac:dyDescent="0.25">
      <c r="A120" s="134"/>
      <c r="B120" s="119"/>
      <c r="C120" s="115" t="s">
        <v>138</v>
      </c>
      <c r="D120" s="115" t="s">
        <v>56</v>
      </c>
      <c r="E120" s="76" t="s">
        <v>74</v>
      </c>
      <c r="F120" s="83" t="s">
        <v>75</v>
      </c>
      <c r="G120" s="84" t="s">
        <v>77</v>
      </c>
      <c r="H120" s="78">
        <v>3</v>
      </c>
      <c r="I120" s="83" t="s">
        <v>252</v>
      </c>
      <c r="J120" s="83" t="s">
        <v>78</v>
      </c>
      <c r="K120" s="81">
        <f>316171.33+63431.05</f>
        <v>379602.38</v>
      </c>
      <c r="L120" s="81">
        <v>230464.58</v>
      </c>
      <c r="M120" s="376">
        <f>17672.51+20295.59</f>
        <v>37968.1</v>
      </c>
      <c r="N120" s="81">
        <f>35167.15</f>
        <v>35167.15</v>
      </c>
      <c r="O120" s="81"/>
      <c r="P120" s="81"/>
      <c r="Q120" s="81">
        <f t="shared" si="30"/>
        <v>683202.21</v>
      </c>
      <c r="R120" s="337"/>
    </row>
    <row r="121" spans="1:19" ht="248.25" customHeight="1" x14ac:dyDescent="0.25">
      <c r="A121" s="134"/>
      <c r="B121" s="119"/>
      <c r="C121" s="115" t="s">
        <v>139</v>
      </c>
      <c r="D121" s="115" t="s">
        <v>56</v>
      </c>
      <c r="E121" s="76" t="s">
        <v>74</v>
      </c>
      <c r="F121" s="83" t="s">
        <v>75</v>
      </c>
      <c r="G121" s="84" t="s">
        <v>77</v>
      </c>
      <c r="H121" s="78">
        <v>3</v>
      </c>
      <c r="I121" s="83" t="s">
        <v>253</v>
      </c>
      <c r="J121" s="83" t="s">
        <v>78</v>
      </c>
      <c r="K121" s="81">
        <v>4111.0200000000004</v>
      </c>
      <c r="L121" s="81">
        <v>2669.95</v>
      </c>
      <c r="M121" s="81">
        <v>407.53</v>
      </c>
      <c r="N121" s="81"/>
      <c r="O121" s="81"/>
      <c r="P121" s="81"/>
      <c r="Q121" s="81">
        <f t="shared" si="30"/>
        <v>7188.5</v>
      </c>
      <c r="R121" s="338"/>
    </row>
    <row r="122" spans="1:19" ht="105" x14ac:dyDescent="0.25">
      <c r="A122" s="113"/>
      <c r="B122" s="120"/>
      <c r="C122" s="115" t="s">
        <v>140</v>
      </c>
      <c r="D122" s="115" t="s">
        <v>56</v>
      </c>
      <c r="E122" s="83" t="s">
        <v>74</v>
      </c>
      <c r="F122" s="83" t="s">
        <v>75</v>
      </c>
      <c r="G122" s="84" t="s">
        <v>77</v>
      </c>
      <c r="H122" s="78">
        <v>3</v>
      </c>
      <c r="I122" s="83" t="s">
        <v>259</v>
      </c>
      <c r="J122" s="83" t="s">
        <v>78</v>
      </c>
      <c r="K122" s="81">
        <f>141865.92+65974.35</f>
        <v>207840.27000000002</v>
      </c>
      <c r="L122" s="81">
        <v>151884.69</v>
      </c>
      <c r="M122" s="81">
        <v>229997.2</v>
      </c>
      <c r="N122" s="81">
        <f>303592.93</f>
        <v>303592.93</v>
      </c>
      <c r="O122" s="81"/>
      <c r="P122" s="81"/>
      <c r="Q122" s="81">
        <f t="shared" si="30"/>
        <v>893315.09000000008</v>
      </c>
      <c r="R122" s="97"/>
      <c r="S122" s="9" t="s">
        <v>104</v>
      </c>
    </row>
    <row r="123" spans="1:19" s="56" customFormat="1" ht="98.25" customHeight="1" x14ac:dyDescent="0.25">
      <c r="A123" s="113"/>
      <c r="B123" s="439"/>
      <c r="C123" s="115"/>
      <c r="D123" s="115" t="s">
        <v>56</v>
      </c>
      <c r="E123" s="83" t="s">
        <v>74</v>
      </c>
      <c r="F123" s="83" t="s">
        <v>75</v>
      </c>
      <c r="G123" s="84" t="s">
        <v>77</v>
      </c>
      <c r="H123" s="78">
        <v>3</v>
      </c>
      <c r="I123" s="83" t="s">
        <v>342</v>
      </c>
      <c r="J123" s="83" t="s">
        <v>78</v>
      </c>
      <c r="K123" s="81"/>
      <c r="L123" s="81"/>
      <c r="M123" s="81"/>
      <c r="N123" s="81">
        <f>376572.47</f>
        <v>376572.47</v>
      </c>
      <c r="O123" s="81"/>
      <c r="P123" s="81"/>
      <c r="Q123" s="81">
        <f t="shared" si="30"/>
        <v>376572.47</v>
      </c>
      <c r="R123" s="338"/>
    </row>
    <row r="124" spans="1:19" ht="150" x14ac:dyDescent="0.25">
      <c r="A124" s="73" t="s">
        <v>14</v>
      </c>
      <c r="B124" s="73"/>
      <c r="C124" s="115" t="s">
        <v>33</v>
      </c>
      <c r="D124" s="115" t="s">
        <v>56</v>
      </c>
      <c r="E124" s="76" t="s">
        <v>74</v>
      </c>
      <c r="F124" s="76" t="s">
        <v>75</v>
      </c>
      <c r="G124" s="77" t="s">
        <v>77</v>
      </c>
      <c r="H124" s="78">
        <v>3</v>
      </c>
      <c r="I124" s="83" t="s">
        <v>264</v>
      </c>
      <c r="J124" s="76" t="s">
        <v>80</v>
      </c>
      <c r="K124" s="81"/>
      <c r="L124" s="81">
        <v>202950</v>
      </c>
      <c r="M124" s="81"/>
      <c r="N124" s="81"/>
      <c r="O124" s="81"/>
      <c r="P124" s="81"/>
      <c r="Q124" s="81">
        <f t="shared" si="30"/>
        <v>202950</v>
      </c>
      <c r="R124" s="131" t="s">
        <v>92</v>
      </c>
    </row>
    <row r="125" spans="1:19" ht="105" x14ac:dyDescent="0.25">
      <c r="A125" s="73" t="s">
        <v>57</v>
      </c>
      <c r="B125" s="118"/>
      <c r="C125" s="287" t="s">
        <v>115</v>
      </c>
      <c r="D125" s="115" t="s">
        <v>56</v>
      </c>
      <c r="E125" s="76" t="s">
        <v>74</v>
      </c>
      <c r="F125" s="76" t="s">
        <v>75</v>
      </c>
      <c r="G125" s="77" t="s">
        <v>77</v>
      </c>
      <c r="H125" s="78">
        <v>3</v>
      </c>
      <c r="I125" s="83" t="s">
        <v>260</v>
      </c>
      <c r="J125" s="76" t="s">
        <v>80</v>
      </c>
      <c r="K125" s="81">
        <v>0</v>
      </c>
      <c r="L125" s="81">
        <v>0</v>
      </c>
      <c r="M125" s="81">
        <v>0</v>
      </c>
      <c r="N125" s="81"/>
      <c r="O125" s="81"/>
      <c r="P125" s="81"/>
      <c r="Q125" s="81">
        <f t="shared" si="30"/>
        <v>0</v>
      </c>
      <c r="R125" s="131" t="s">
        <v>106</v>
      </c>
    </row>
    <row r="126" spans="1:19" ht="78" customHeight="1" x14ac:dyDescent="0.25">
      <c r="A126" s="73" t="s">
        <v>103</v>
      </c>
      <c r="B126" s="118"/>
      <c r="C126" s="287" t="s">
        <v>34</v>
      </c>
      <c r="D126" s="115" t="s">
        <v>56</v>
      </c>
      <c r="E126" s="76" t="s">
        <v>74</v>
      </c>
      <c r="F126" s="76" t="s">
        <v>27</v>
      </c>
      <c r="G126" s="77" t="s">
        <v>77</v>
      </c>
      <c r="H126" s="78">
        <v>3</v>
      </c>
      <c r="I126" s="83" t="s">
        <v>265</v>
      </c>
      <c r="J126" s="76" t="s">
        <v>80</v>
      </c>
      <c r="K126" s="81">
        <f>300+62924</f>
        <v>63224</v>
      </c>
      <c r="L126" s="81">
        <v>0</v>
      </c>
      <c r="M126" s="81">
        <v>0</v>
      </c>
      <c r="N126" s="81"/>
      <c r="O126" s="81"/>
      <c r="P126" s="81"/>
      <c r="Q126" s="81">
        <f t="shared" si="30"/>
        <v>63224</v>
      </c>
      <c r="R126" s="131" t="s">
        <v>93</v>
      </c>
    </row>
    <row r="127" spans="1:19" s="35" customFormat="1" ht="210" x14ac:dyDescent="0.25">
      <c r="A127" s="159" t="s">
        <v>160</v>
      </c>
      <c r="B127" s="73"/>
      <c r="C127" s="160" t="s">
        <v>219</v>
      </c>
      <c r="D127" s="115" t="s">
        <v>56</v>
      </c>
      <c r="E127" s="76" t="s">
        <v>74</v>
      </c>
      <c r="F127" s="76" t="s">
        <v>75</v>
      </c>
      <c r="G127" s="77" t="s">
        <v>77</v>
      </c>
      <c r="H127" s="78">
        <v>3</v>
      </c>
      <c r="I127" s="83" t="s">
        <v>266</v>
      </c>
      <c r="J127" s="76" t="s">
        <v>80</v>
      </c>
      <c r="K127" s="81"/>
      <c r="L127" s="81">
        <v>2050</v>
      </c>
      <c r="M127" s="81"/>
      <c r="N127" s="81"/>
      <c r="O127" s="81"/>
      <c r="P127" s="81"/>
      <c r="Q127" s="81">
        <f t="shared" si="30"/>
        <v>2050</v>
      </c>
      <c r="R127" s="131" t="s">
        <v>92</v>
      </c>
    </row>
    <row r="128" spans="1:19" s="35" customFormat="1" ht="55.5" customHeight="1" x14ac:dyDescent="0.25">
      <c r="A128" s="159" t="s">
        <v>173</v>
      </c>
      <c r="B128" s="118"/>
      <c r="C128" s="287" t="s">
        <v>34</v>
      </c>
      <c r="D128" s="115" t="s">
        <v>56</v>
      </c>
      <c r="E128" s="76" t="s">
        <v>74</v>
      </c>
      <c r="F128" s="76" t="s">
        <v>27</v>
      </c>
      <c r="G128" s="77" t="s">
        <v>77</v>
      </c>
      <c r="H128" s="78">
        <v>3</v>
      </c>
      <c r="I128" s="83" t="s">
        <v>267</v>
      </c>
      <c r="J128" s="76" t="s">
        <v>80</v>
      </c>
      <c r="K128" s="81"/>
      <c r="L128" s="81">
        <v>54000</v>
      </c>
      <c r="M128" s="81">
        <v>0</v>
      </c>
      <c r="N128" s="81"/>
      <c r="O128" s="81"/>
      <c r="P128" s="81"/>
      <c r="Q128" s="81">
        <f t="shared" si="30"/>
        <v>54000</v>
      </c>
      <c r="R128" s="131" t="s">
        <v>93</v>
      </c>
    </row>
    <row r="129" spans="1:18" s="35" customFormat="1" ht="87.75" customHeight="1" x14ac:dyDescent="0.25">
      <c r="A129" s="159" t="s">
        <v>197</v>
      </c>
      <c r="B129" s="118"/>
      <c r="C129" s="286" t="s">
        <v>218</v>
      </c>
      <c r="D129" s="115" t="s">
        <v>56</v>
      </c>
      <c r="E129" s="76" t="s">
        <v>74</v>
      </c>
      <c r="F129" s="76" t="s">
        <v>27</v>
      </c>
      <c r="G129" s="77" t="s">
        <v>77</v>
      </c>
      <c r="H129" s="78">
        <v>3</v>
      </c>
      <c r="I129" s="83" t="s">
        <v>265</v>
      </c>
      <c r="J129" s="76" t="s">
        <v>80</v>
      </c>
      <c r="K129" s="81"/>
      <c r="L129" s="81">
        <v>546</v>
      </c>
      <c r="M129" s="81">
        <v>0</v>
      </c>
      <c r="N129" s="81"/>
      <c r="O129" s="81"/>
      <c r="P129" s="81"/>
      <c r="Q129" s="81">
        <f t="shared" si="30"/>
        <v>546</v>
      </c>
      <c r="R129" s="131" t="s">
        <v>93</v>
      </c>
    </row>
    <row r="130" spans="1:18" s="52" customFormat="1" ht="272.25" customHeight="1" x14ac:dyDescent="0.25">
      <c r="A130" s="73" t="s">
        <v>231</v>
      </c>
      <c r="B130" s="118"/>
      <c r="C130" s="312" t="s">
        <v>285</v>
      </c>
      <c r="D130" s="90" t="s">
        <v>56</v>
      </c>
      <c r="E130" s="73" t="s">
        <v>74</v>
      </c>
      <c r="F130" s="73" t="s">
        <v>75</v>
      </c>
      <c r="G130" s="74" t="s">
        <v>77</v>
      </c>
      <c r="H130" s="110">
        <v>3</v>
      </c>
      <c r="I130" s="111" t="s">
        <v>284</v>
      </c>
      <c r="J130" s="73" t="s">
        <v>80</v>
      </c>
      <c r="K130" s="237"/>
      <c r="L130" s="96"/>
      <c r="M130" s="96">
        <v>35360</v>
      </c>
      <c r="N130" s="96"/>
      <c r="O130" s="96"/>
      <c r="P130" s="96"/>
      <c r="Q130" s="96">
        <f t="shared" si="30"/>
        <v>35360</v>
      </c>
      <c r="R130" s="131"/>
    </row>
    <row r="131" spans="1:18" s="52" customFormat="1" ht="313.5" customHeight="1" x14ac:dyDescent="0.25">
      <c r="A131" s="73" t="s">
        <v>279</v>
      </c>
      <c r="B131" s="118"/>
      <c r="C131" s="312" t="s">
        <v>286</v>
      </c>
      <c r="D131" s="90" t="s">
        <v>56</v>
      </c>
      <c r="E131" s="73" t="s">
        <v>74</v>
      </c>
      <c r="F131" s="73" t="s">
        <v>75</v>
      </c>
      <c r="G131" s="74" t="s">
        <v>77</v>
      </c>
      <c r="H131" s="110">
        <v>3</v>
      </c>
      <c r="I131" s="111" t="s">
        <v>288</v>
      </c>
      <c r="J131" s="73" t="s">
        <v>80</v>
      </c>
      <c r="K131" s="237"/>
      <c r="L131" s="96"/>
      <c r="M131" s="96">
        <v>721.7</v>
      </c>
      <c r="N131" s="96"/>
      <c r="O131" s="96"/>
      <c r="P131" s="96"/>
      <c r="Q131" s="96">
        <f t="shared" si="30"/>
        <v>721.7</v>
      </c>
      <c r="R131" s="131"/>
    </row>
    <row r="132" spans="1:18" x14ac:dyDescent="0.25">
      <c r="A132" s="73"/>
      <c r="B132" s="73"/>
      <c r="C132" s="115" t="s">
        <v>15</v>
      </c>
      <c r="D132" s="69"/>
      <c r="E132" s="115"/>
      <c r="F132" s="115"/>
      <c r="G132" s="77"/>
      <c r="H132" s="78"/>
      <c r="I132" s="71"/>
      <c r="J132" s="115"/>
      <c r="K132" s="81">
        <f>SUM(K118:K126)</f>
        <v>9401121.9199999999</v>
      </c>
      <c r="L132" s="81">
        <f>SUM(L118:L129)</f>
        <v>10366003.889999999</v>
      </c>
      <c r="M132" s="81">
        <f>SUM(M118:M131)</f>
        <v>10796286.269999998</v>
      </c>
      <c r="N132" s="81">
        <f>SUM(N118:N126)</f>
        <v>11166840.720000001</v>
      </c>
      <c r="O132" s="81">
        <f>SUM(O118:O126)</f>
        <v>10451508.17</v>
      </c>
      <c r="P132" s="81">
        <f>SUM(P118:P126)</f>
        <v>10451508.17</v>
      </c>
      <c r="Q132" s="81">
        <f>K132+L132+M132+N132+O132+P132</f>
        <v>62633269.140000001</v>
      </c>
      <c r="R132" s="91"/>
    </row>
    <row r="133" spans="1:18" ht="15.75" customHeight="1" x14ac:dyDescent="0.25">
      <c r="A133" s="73" t="s">
        <v>16</v>
      </c>
      <c r="B133" s="74"/>
      <c r="C133" s="459" t="s">
        <v>35</v>
      </c>
      <c r="D133" s="460"/>
      <c r="E133" s="460"/>
      <c r="F133" s="460"/>
      <c r="G133" s="460"/>
      <c r="H133" s="460"/>
      <c r="I133" s="460"/>
      <c r="J133" s="460"/>
      <c r="K133" s="460"/>
      <c r="L133" s="460"/>
      <c r="M133" s="460"/>
      <c r="N133" s="460"/>
      <c r="O133" s="460"/>
      <c r="P133" s="460"/>
      <c r="Q133" s="461"/>
      <c r="R133" s="90"/>
    </row>
    <row r="134" spans="1:18" ht="125.25" customHeight="1" x14ac:dyDescent="0.25">
      <c r="A134" s="118" t="s">
        <v>17</v>
      </c>
      <c r="B134" s="118"/>
      <c r="C134" s="284" t="s">
        <v>36</v>
      </c>
      <c r="D134" s="287" t="s">
        <v>56</v>
      </c>
      <c r="E134" s="76"/>
      <c r="F134" s="76"/>
      <c r="G134" s="77"/>
      <c r="H134" s="78"/>
      <c r="I134" s="83"/>
      <c r="J134" s="76"/>
      <c r="K134" s="133"/>
      <c r="L134" s="133"/>
      <c r="M134" s="133"/>
      <c r="N134" s="133"/>
      <c r="O134" s="133"/>
      <c r="P134" s="133"/>
      <c r="Q134" s="133">
        <f>SUM(K134:M134)</f>
        <v>0</v>
      </c>
      <c r="R134" s="131" t="s">
        <v>94</v>
      </c>
    </row>
    <row r="135" spans="1:18" x14ac:dyDescent="0.25">
      <c r="A135" s="73"/>
      <c r="B135" s="73"/>
      <c r="C135" s="115" t="s">
        <v>18</v>
      </c>
      <c r="D135" s="69"/>
      <c r="E135" s="115"/>
      <c r="F135" s="115"/>
      <c r="G135" s="77"/>
      <c r="H135" s="78"/>
      <c r="I135" s="71"/>
      <c r="J135" s="115"/>
      <c r="K135" s="165">
        <f>SUM(K134:K134)</f>
        <v>0</v>
      </c>
      <c r="L135" s="165">
        <f>SUM(L134:L134)</f>
        <v>0</v>
      </c>
      <c r="M135" s="165">
        <f>SUM(M134:M134)</f>
        <v>0</v>
      </c>
      <c r="N135" s="165">
        <f>SUM(N134:N134)</f>
        <v>0</v>
      </c>
      <c r="O135" s="165"/>
      <c r="P135" s="165"/>
      <c r="Q135" s="165">
        <f>SUM(Q134:Q134)</f>
        <v>0</v>
      </c>
      <c r="R135" s="91"/>
    </row>
    <row r="136" spans="1:18" ht="15.75" customHeight="1" x14ac:dyDescent="0.25">
      <c r="A136" s="73" t="s">
        <v>19</v>
      </c>
      <c r="B136" s="74"/>
      <c r="C136" s="459" t="s">
        <v>37</v>
      </c>
      <c r="D136" s="460"/>
      <c r="E136" s="460"/>
      <c r="F136" s="460"/>
      <c r="G136" s="460"/>
      <c r="H136" s="460"/>
      <c r="I136" s="460"/>
      <c r="J136" s="460"/>
      <c r="K136" s="460"/>
      <c r="L136" s="460"/>
      <c r="M136" s="460"/>
      <c r="N136" s="460"/>
      <c r="O136" s="460"/>
      <c r="P136" s="460"/>
      <c r="Q136" s="461"/>
      <c r="R136" s="90"/>
    </row>
    <row r="137" spans="1:18" x14ac:dyDescent="0.25">
      <c r="A137" s="479" t="s">
        <v>20</v>
      </c>
      <c r="B137" s="118"/>
      <c r="C137" s="457" t="s">
        <v>131</v>
      </c>
      <c r="D137" s="287" t="s">
        <v>56</v>
      </c>
      <c r="E137" s="76" t="s">
        <v>74</v>
      </c>
      <c r="F137" s="76" t="s">
        <v>27</v>
      </c>
      <c r="G137" s="77" t="s">
        <v>77</v>
      </c>
      <c r="H137" s="78">
        <v>3</v>
      </c>
      <c r="I137" s="83" t="s">
        <v>268</v>
      </c>
      <c r="J137" s="76" t="s">
        <v>80</v>
      </c>
      <c r="K137" s="133">
        <f>16000+4000</f>
        <v>20000</v>
      </c>
      <c r="L137" s="133"/>
      <c r="M137" s="133"/>
      <c r="N137" s="133"/>
      <c r="O137" s="133"/>
      <c r="P137" s="133"/>
      <c r="Q137" s="133">
        <f>SUM(K137:O137)</f>
        <v>20000</v>
      </c>
      <c r="R137" s="476" t="s">
        <v>89</v>
      </c>
    </row>
    <row r="138" spans="1:18" x14ac:dyDescent="0.25">
      <c r="A138" s="480"/>
      <c r="B138" s="120"/>
      <c r="C138" s="458"/>
      <c r="D138" s="287" t="s">
        <v>56</v>
      </c>
      <c r="E138" s="76" t="s">
        <v>74</v>
      </c>
      <c r="F138" s="83" t="s">
        <v>27</v>
      </c>
      <c r="G138" s="84" t="s">
        <v>77</v>
      </c>
      <c r="H138" s="78">
        <v>3</v>
      </c>
      <c r="I138" s="83" t="s">
        <v>268</v>
      </c>
      <c r="J138" s="76" t="s">
        <v>28</v>
      </c>
      <c r="K138" s="133">
        <f>15000+3880</f>
        <v>18880</v>
      </c>
      <c r="L138" s="133"/>
      <c r="M138" s="133"/>
      <c r="N138" s="133"/>
      <c r="O138" s="133"/>
      <c r="P138" s="133"/>
      <c r="Q138" s="133">
        <f t="shared" ref="Q138:Q142" si="31">SUM(K138:O138)</f>
        <v>18880</v>
      </c>
      <c r="R138" s="478"/>
    </row>
    <row r="139" spans="1:18" x14ac:dyDescent="0.25">
      <c r="A139" s="479" t="s">
        <v>98</v>
      </c>
      <c r="B139" s="118"/>
      <c r="C139" s="457" t="s">
        <v>116</v>
      </c>
      <c r="D139" s="287" t="s">
        <v>56</v>
      </c>
      <c r="E139" s="76" t="s">
        <v>74</v>
      </c>
      <c r="F139" s="83" t="s">
        <v>27</v>
      </c>
      <c r="G139" s="84" t="s">
        <v>77</v>
      </c>
      <c r="H139" s="78">
        <v>3</v>
      </c>
      <c r="I139" s="83" t="s">
        <v>269</v>
      </c>
      <c r="J139" s="76" t="s">
        <v>80</v>
      </c>
      <c r="K139" s="133">
        <v>90000</v>
      </c>
      <c r="L139" s="133"/>
      <c r="M139" s="133"/>
      <c r="N139" s="133"/>
      <c r="O139" s="133"/>
      <c r="P139" s="133"/>
      <c r="Q139" s="133">
        <f t="shared" si="31"/>
        <v>90000</v>
      </c>
      <c r="R139" s="476" t="s">
        <v>107</v>
      </c>
    </row>
    <row r="140" spans="1:18" x14ac:dyDescent="0.25">
      <c r="A140" s="480"/>
      <c r="B140" s="120"/>
      <c r="C140" s="458"/>
      <c r="D140" s="287" t="s">
        <v>56</v>
      </c>
      <c r="E140" s="76" t="s">
        <v>74</v>
      </c>
      <c r="F140" s="83" t="s">
        <v>27</v>
      </c>
      <c r="G140" s="84" t="s">
        <v>77</v>
      </c>
      <c r="H140" s="78">
        <v>3</v>
      </c>
      <c r="I140" s="83" t="s">
        <v>269</v>
      </c>
      <c r="J140" s="76" t="s">
        <v>28</v>
      </c>
      <c r="K140" s="133">
        <v>0</v>
      </c>
      <c r="L140" s="133"/>
      <c r="M140" s="133"/>
      <c r="N140" s="133"/>
      <c r="O140" s="133"/>
      <c r="P140" s="133"/>
      <c r="Q140" s="133">
        <f t="shared" si="31"/>
        <v>0</v>
      </c>
      <c r="R140" s="478"/>
    </row>
    <row r="141" spans="1:18" ht="43.5" customHeight="1" x14ac:dyDescent="0.25">
      <c r="A141" s="479" t="s">
        <v>134</v>
      </c>
      <c r="B141" s="479"/>
      <c r="C141" s="457" t="s">
        <v>132</v>
      </c>
      <c r="D141" s="457" t="s">
        <v>56</v>
      </c>
      <c r="E141" s="76" t="s">
        <v>74</v>
      </c>
      <c r="F141" s="83" t="s">
        <v>27</v>
      </c>
      <c r="G141" s="84" t="s">
        <v>77</v>
      </c>
      <c r="H141" s="78">
        <v>3</v>
      </c>
      <c r="I141" s="116" t="s">
        <v>270</v>
      </c>
      <c r="J141" s="76" t="s">
        <v>28</v>
      </c>
      <c r="K141" s="133">
        <v>75500</v>
      </c>
      <c r="L141" s="133"/>
      <c r="M141" s="133"/>
      <c r="N141" s="133"/>
      <c r="O141" s="133"/>
      <c r="P141" s="133"/>
      <c r="Q141" s="133">
        <f t="shared" si="31"/>
        <v>75500</v>
      </c>
      <c r="R141" s="124"/>
    </row>
    <row r="142" spans="1:18" ht="68.25" customHeight="1" x14ac:dyDescent="0.25">
      <c r="A142" s="480"/>
      <c r="B142" s="481"/>
      <c r="C142" s="458"/>
      <c r="D142" s="458"/>
      <c r="E142" s="128" t="s">
        <v>74</v>
      </c>
      <c r="F142" s="116" t="s">
        <v>27</v>
      </c>
      <c r="G142" s="129" t="s">
        <v>77</v>
      </c>
      <c r="H142" s="166">
        <v>3</v>
      </c>
      <c r="I142" s="116" t="s">
        <v>270</v>
      </c>
      <c r="J142" s="116" t="s">
        <v>80</v>
      </c>
      <c r="K142" s="133">
        <v>80000</v>
      </c>
      <c r="L142" s="133"/>
      <c r="M142" s="133"/>
      <c r="N142" s="133"/>
      <c r="O142" s="133"/>
      <c r="P142" s="133"/>
      <c r="Q142" s="133">
        <f t="shared" si="31"/>
        <v>80000</v>
      </c>
      <c r="R142" s="124"/>
    </row>
    <row r="143" spans="1:18" ht="75" x14ac:dyDescent="0.25">
      <c r="A143" s="118" t="s">
        <v>133</v>
      </c>
      <c r="B143" s="119"/>
      <c r="C143" s="285" t="s">
        <v>117</v>
      </c>
      <c r="D143" s="284" t="s">
        <v>56</v>
      </c>
      <c r="E143" s="76" t="s">
        <v>74</v>
      </c>
      <c r="F143" s="83" t="s">
        <v>26</v>
      </c>
      <c r="G143" s="84" t="s">
        <v>77</v>
      </c>
      <c r="H143" s="78">
        <v>3</v>
      </c>
      <c r="I143" s="83" t="s">
        <v>271</v>
      </c>
      <c r="J143" s="76" t="s">
        <v>28</v>
      </c>
      <c r="K143" s="133">
        <v>250000</v>
      </c>
      <c r="L143" s="133">
        <f>250000-20000</f>
        <v>230000</v>
      </c>
      <c r="M143" s="133">
        <f>124500+20000</f>
        <v>144500</v>
      </c>
      <c r="N143" s="133">
        <v>167200</v>
      </c>
      <c r="O143" s="133">
        <v>167200</v>
      </c>
      <c r="P143" s="133">
        <v>167200</v>
      </c>
      <c r="Q143" s="133">
        <f>SUM(K143:P143)</f>
        <v>1126100</v>
      </c>
      <c r="R143" s="124"/>
    </row>
    <row r="144" spans="1:18" x14ac:dyDescent="0.25">
      <c r="A144" s="73"/>
      <c r="B144" s="73"/>
      <c r="C144" s="115" t="s">
        <v>21</v>
      </c>
      <c r="D144" s="69"/>
      <c r="E144" s="115"/>
      <c r="F144" s="115"/>
      <c r="G144" s="77"/>
      <c r="H144" s="78"/>
      <c r="I144" s="71"/>
      <c r="J144" s="115"/>
      <c r="K144" s="133">
        <f>SUM(K137:K143)</f>
        <v>534380</v>
      </c>
      <c r="L144" s="133">
        <f t="shared" ref="L144" si="32">SUM(L137:L143)</f>
        <v>230000</v>
      </c>
      <c r="M144" s="133">
        <f>SUM(M137:M143)</f>
        <v>144500</v>
      </c>
      <c r="N144" s="133">
        <f t="shared" ref="N144:P144" si="33">SUM(N137:N143)</f>
        <v>167200</v>
      </c>
      <c r="O144" s="133">
        <f t="shared" si="33"/>
        <v>167200</v>
      </c>
      <c r="P144" s="133">
        <f t="shared" si="33"/>
        <v>167200</v>
      </c>
      <c r="Q144" s="133">
        <f>SUM(Q137:Q143)</f>
        <v>1410480</v>
      </c>
      <c r="R144" s="91"/>
    </row>
    <row r="145" spans="1:18" ht="15.75" customHeight="1" x14ac:dyDescent="0.25">
      <c r="A145" s="73" t="s">
        <v>22</v>
      </c>
      <c r="B145" s="74"/>
      <c r="C145" s="459" t="s">
        <v>38</v>
      </c>
      <c r="D145" s="460"/>
      <c r="E145" s="460"/>
      <c r="F145" s="460"/>
      <c r="G145" s="460"/>
      <c r="H145" s="460"/>
      <c r="I145" s="460"/>
      <c r="J145" s="460"/>
      <c r="K145" s="460"/>
      <c r="L145" s="460"/>
      <c r="M145" s="460"/>
      <c r="N145" s="460"/>
      <c r="O145" s="460"/>
      <c r="P145" s="460"/>
      <c r="Q145" s="461"/>
      <c r="R145" s="91"/>
    </row>
    <row r="146" spans="1:18" x14ac:dyDescent="0.25">
      <c r="A146" s="479" t="s">
        <v>31</v>
      </c>
      <c r="B146" s="330"/>
      <c r="C146" s="457" t="s">
        <v>135</v>
      </c>
      <c r="D146" s="482" t="s">
        <v>56</v>
      </c>
      <c r="E146" s="76" t="s">
        <v>74</v>
      </c>
      <c r="F146" s="76" t="s">
        <v>75</v>
      </c>
      <c r="G146" s="77" t="s">
        <v>77</v>
      </c>
      <c r="H146" s="78">
        <v>3</v>
      </c>
      <c r="I146" s="111" t="s">
        <v>250</v>
      </c>
      <c r="J146" s="76" t="s">
        <v>80</v>
      </c>
      <c r="K146" s="133">
        <v>60000</v>
      </c>
      <c r="L146" s="133"/>
      <c r="M146" s="133"/>
      <c r="N146" s="133"/>
      <c r="O146" s="133"/>
      <c r="P146" s="133"/>
      <c r="Q146" s="133">
        <f>SUM(K146:N146)</f>
        <v>60000</v>
      </c>
      <c r="R146" s="476" t="s">
        <v>105</v>
      </c>
    </row>
    <row r="147" spans="1:18" ht="165.75" customHeight="1" x14ac:dyDescent="0.25">
      <c r="A147" s="480"/>
      <c r="B147" s="332"/>
      <c r="C147" s="458"/>
      <c r="D147" s="483"/>
      <c r="E147" s="76" t="s">
        <v>74</v>
      </c>
      <c r="F147" s="76" t="s">
        <v>27</v>
      </c>
      <c r="G147" s="77" t="s">
        <v>77</v>
      </c>
      <c r="H147" s="78">
        <v>3</v>
      </c>
      <c r="I147" s="111" t="s">
        <v>250</v>
      </c>
      <c r="J147" s="76" t="s">
        <v>80</v>
      </c>
      <c r="K147" s="133">
        <f>90000+60000-50000</f>
        <v>100000</v>
      </c>
      <c r="L147" s="133">
        <f>400000+37559</f>
        <v>437559</v>
      </c>
      <c r="M147" s="133"/>
      <c r="N147" s="133">
        <f>234700</f>
        <v>234700</v>
      </c>
      <c r="O147" s="133"/>
      <c r="P147" s="133"/>
      <c r="Q147" s="133">
        <f>SUM(K147:N147)</f>
        <v>772259</v>
      </c>
      <c r="R147" s="478"/>
    </row>
    <row r="148" spans="1:18" ht="244.5" customHeight="1" x14ac:dyDescent="0.25">
      <c r="A148" s="73" t="s">
        <v>39</v>
      </c>
      <c r="B148" s="73"/>
      <c r="C148" s="115" t="s">
        <v>61</v>
      </c>
      <c r="D148" s="69" t="s">
        <v>56</v>
      </c>
      <c r="E148" s="76"/>
      <c r="F148" s="76"/>
      <c r="G148" s="77"/>
      <c r="H148" s="78"/>
      <c r="I148" s="83"/>
      <c r="J148" s="76"/>
      <c r="K148" s="133"/>
      <c r="L148" s="133"/>
      <c r="M148" s="133"/>
      <c r="N148" s="133"/>
      <c r="O148" s="133"/>
      <c r="P148" s="133"/>
      <c r="Q148" s="133">
        <f t="shared" ref="Q148:Q159" si="34">SUM(K148:M148)</f>
        <v>0</v>
      </c>
      <c r="R148" s="167" t="s">
        <v>90</v>
      </c>
    </row>
    <row r="149" spans="1:18" ht="127.5" customHeight="1" x14ac:dyDescent="0.25">
      <c r="A149" s="73" t="s">
        <v>40</v>
      </c>
      <c r="B149" s="73"/>
      <c r="C149" s="115" t="s">
        <v>62</v>
      </c>
      <c r="D149" s="69" t="s">
        <v>56</v>
      </c>
      <c r="E149" s="76"/>
      <c r="F149" s="76"/>
      <c r="G149" s="77"/>
      <c r="H149" s="78"/>
      <c r="I149" s="83"/>
      <c r="J149" s="76"/>
      <c r="K149" s="133"/>
      <c r="L149" s="133"/>
      <c r="M149" s="133"/>
      <c r="N149" s="133"/>
      <c r="O149" s="133"/>
      <c r="P149" s="133"/>
      <c r="Q149" s="133">
        <f t="shared" si="34"/>
        <v>0</v>
      </c>
      <c r="R149" s="131"/>
    </row>
    <row r="150" spans="1:18" ht="33.75" customHeight="1" x14ac:dyDescent="0.25">
      <c r="A150" s="479" t="s">
        <v>41</v>
      </c>
      <c r="B150" s="479"/>
      <c r="C150" s="484" t="s">
        <v>136</v>
      </c>
      <c r="D150" s="69" t="s">
        <v>56</v>
      </c>
      <c r="E150" s="76" t="s">
        <v>74</v>
      </c>
      <c r="F150" s="76" t="s">
        <v>27</v>
      </c>
      <c r="G150" s="77" t="s">
        <v>77</v>
      </c>
      <c r="H150" s="78">
        <v>3</v>
      </c>
      <c r="I150" s="111" t="s">
        <v>251</v>
      </c>
      <c r="J150" s="76" t="s">
        <v>28</v>
      </c>
      <c r="K150" s="168">
        <f>200000+20000+58031.49</f>
        <v>278031.49</v>
      </c>
      <c r="L150" s="169"/>
      <c r="M150" s="172">
        <v>161002.39000000001</v>
      </c>
      <c r="N150" s="133">
        <v>0</v>
      </c>
      <c r="O150" s="133"/>
      <c r="P150" s="133"/>
      <c r="Q150" s="168">
        <f t="shared" ref="Q150:Q158" si="35">SUM(K150:N150)</f>
        <v>439033.88</v>
      </c>
      <c r="R150" s="131" t="s">
        <v>137</v>
      </c>
    </row>
    <row r="151" spans="1:18" ht="33.75" customHeight="1" x14ac:dyDescent="0.25">
      <c r="A151" s="481"/>
      <c r="B151" s="481"/>
      <c r="C151" s="485"/>
      <c r="D151" s="69" t="s">
        <v>56</v>
      </c>
      <c r="E151" s="76" t="s">
        <v>74</v>
      </c>
      <c r="F151" s="76" t="s">
        <v>75</v>
      </c>
      <c r="G151" s="77" t="s">
        <v>77</v>
      </c>
      <c r="H151" s="78">
        <v>3</v>
      </c>
      <c r="I151" s="111" t="s">
        <v>251</v>
      </c>
      <c r="J151" s="76" t="s">
        <v>80</v>
      </c>
      <c r="K151" s="168"/>
      <c r="L151" s="133">
        <v>300000</v>
      </c>
      <c r="M151" s="133">
        <v>0</v>
      </c>
      <c r="N151" s="172">
        <v>183110.42</v>
      </c>
      <c r="O151" s="133"/>
      <c r="P151" s="133"/>
      <c r="Q151" s="168">
        <f>SUM(K151:P151)</f>
        <v>483110.42000000004</v>
      </c>
      <c r="R151" s="170" t="s">
        <v>108</v>
      </c>
    </row>
    <row r="152" spans="1:18" ht="34.5" customHeight="1" x14ac:dyDescent="0.25">
      <c r="A152" s="481"/>
      <c r="B152" s="481"/>
      <c r="C152" s="485"/>
      <c r="D152" s="69" t="s">
        <v>56</v>
      </c>
      <c r="E152" s="76" t="s">
        <v>74</v>
      </c>
      <c r="F152" s="76" t="s">
        <v>27</v>
      </c>
      <c r="G152" s="77" t="s">
        <v>77</v>
      </c>
      <c r="H152" s="78">
        <v>3</v>
      </c>
      <c r="I152" s="111" t="s">
        <v>251</v>
      </c>
      <c r="J152" s="76" t="s">
        <v>80</v>
      </c>
      <c r="K152" s="168">
        <f>700000+300000+163915.45+50000</f>
        <v>1213915.45</v>
      </c>
      <c r="L152" s="171">
        <f>329682.99+1000000+133252.22</f>
        <v>1462935.21</v>
      </c>
      <c r="M152" s="172">
        <v>178632.07</v>
      </c>
      <c r="N152" s="172">
        <v>182933.59</v>
      </c>
      <c r="O152" s="133"/>
      <c r="P152" s="133"/>
      <c r="Q152" s="168">
        <f>SUM(K152:P152)</f>
        <v>3038416.32</v>
      </c>
      <c r="R152" s="170" t="s">
        <v>108</v>
      </c>
    </row>
    <row r="153" spans="1:18" s="27" customFormat="1" ht="34.5" customHeight="1" x14ac:dyDescent="0.25">
      <c r="A153" s="481"/>
      <c r="B153" s="481"/>
      <c r="C153" s="485"/>
      <c r="D153" s="69" t="s">
        <v>56</v>
      </c>
      <c r="E153" s="76" t="s">
        <v>74</v>
      </c>
      <c r="F153" s="76" t="s">
        <v>27</v>
      </c>
      <c r="G153" s="77" t="s">
        <v>77</v>
      </c>
      <c r="H153" s="78">
        <v>3</v>
      </c>
      <c r="I153" s="111" t="s">
        <v>251</v>
      </c>
      <c r="J153" s="76" t="s">
        <v>175</v>
      </c>
      <c r="K153" s="168"/>
      <c r="L153" s="171">
        <v>57251.54</v>
      </c>
      <c r="M153" s="133"/>
      <c r="N153" s="133"/>
      <c r="O153" s="133"/>
      <c r="P153" s="133"/>
      <c r="Q153" s="168">
        <f>L153</f>
        <v>57251.54</v>
      </c>
      <c r="R153" s="170" t="s">
        <v>108</v>
      </c>
    </row>
    <row r="154" spans="1:18" s="27" customFormat="1" ht="34.5" customHeight="1" x14ac:dyDescent="0.25">
      <c r="A154" s="481"/>
      <c r="B154" s="481"/>
      <c r="C154" s="485"/>
      <c r="D154" s="69" t="s">
        <v>56</v>
      </c>
      <c r="E154" s="76" t="s">
        <v>74</v>
      </c>
      <c r="F154" s="76" t="s">
        <v>27</v>
      </c>
      <c r="G154" s="77" t="s">
        <v>77</v>
      </c>
      <c r="H154" s="78">
        <v>3</v>
      </c>
      <c r="I154" s="111" t="s">
        <v>251</v>
      </c>
      <c r="J154" s="76" t="s">
        <v>28</v>
      </c>
      <c r="K154" s="168"/>
      <c r="L154" s="171">
        <v>46000</v>
      </c>
      <c r="M154" s="133"/>
      <c r="N154" s="133"/>
      <c r="O154" s="133"/>
      <c r="P154" s="133"/>
      <c r="Q154" s="168">
        <f>L154</f>
        <v>46000</v>
      </c>
      <c r="R154" s="170" t="s">
        <v>108</v>
      </c>
    </row>
    <row r="155" spans="1:18" s="56" customFormat="1" ht="34.5" customHeight="1" x14ac:dyDescent="0.25">
      <c r="A155" s="371"/>
      <c r="B155" s="371"/>
      <c r="C155" s="486"/>
      <c r="D155" s="69" t="s">
        <v>56</v>
      </c>
      <c r="E155" s="76" t="s">
        <v>74</v>
      </c>
      <c r="F155" s="76" t="s">
        <v>27</v>
      </c>
      <c r="G155" s="77" t="s">
        <v>77</v>
      </c>
      <c r="H155" s="78">
        <v>3</v>
      </c>
      <c r="I155" s="111" t="s">
        <v>299</v>
      </c>
      <c r="J155" s="76" t="s">
        <v>80</v>
      </c>
      <c r="K155" s="168"/>
      <c r="L155" s="171"/>
      <c r="M155" s="133">
        <v>600000</v>
      </c>
      <c r="N155" s="133"/>
      <c r="O155" s="133"/>
      <c r="P155" s="133"/>
      <c r="Q155" s="168">
        <f>M155</f>
        <v>600000</v>
      </c>
      <c r="R155" s="170" t="s">
        <v>108</v>
      </c>
    </row>
    <row r="156" spans="1:18" ht="165" x14ac:dyDescent="0.25">
      <c r="A156" s="73" t="s">
        <v>64</v>
      </c>
      <c r="B156" s="73"/>
      <c r="C156" s="115" t="s">
        <v>135</v>
      </c>
      <c r="D156" s="69" t="s">
        <v>56</v>
      </c>
      <c r="E156" s="76" t="s">
        <v>74</v>
      </c>
      <c r="F156" s="76" t="s">
        <v>27</v>
      </c>
      <c r="G156" s="77" t="s">
        <v>77</v>
      </c>
      <c r="H156" s="78">
        <v>3</v>
      </c>
      <c r="I156" s="111" t="s">
        <v>250</v>
      </c>
      <c r="J156" s="76" t="s">
        <v>28</v>
      </c>
      <c r="K156" s="133">
        <v>150000</v>
      </c>
      <c r="L156" s="133"/>
      <c r="M156" s="133"/>
      <c r="N156" s="133"/>
      <c r="O156" s="133"/>
      <c r="P156" s="133"/>
      <c r="Q156" s="172">
        <f t="shared" si="35"/>
        <v>150000</v>
      </c>
      <c r="R156" s="167" t="s">
        <v>110</v>
      </c>
    </row>
    <row r="157" spans="1:18" ht="117" customHeight="1" x14ac:dyDescent="0.25">
      <c r="A157" s="73" t="s">
        <v>42</v>
      </c>
      <c r="B157" s="73"/>
      <c r="C157" s="115" t="s">
        <v>118</v>
      </c>
      <c r="D157" s="69" t="s">
        <v>56</v>
      </c>
      <c r="E157" s="76" t="s">
        <v>74</v>
      </c>
      <c r="F157" s="76" t="s">
        <v>27</v>
      </c>
      <c r="G157" s="77" t="s">
        <v>77</v>
      </c>
      <c r="H157" s="78">
        <v>3</v>
      </c>
      <c r="I157" s="83" t="s">
        <v>272</v>
      </c>
      <c r="J157" s="76" t="s">
        <v>80</v>
      </c>
      <c r="K157" s="133">
        <v>90000</v>
      </c>
      <c r="L157" s="133"/>
      <c r="M157" s="133"/>
      <c r="N157" s="133"/>
      <c r="O157" s="133"/>
      <c r="P157" s="133"/>
      <c r="Q157" s="172">
        <f t="shared" si="35"/>
        <v>90000</v>
      </c>
      <c r="R157" s="131" t="s">
        <v>109</v>
      </c>
    </row>
    <row r="158" spans="1:18" ht="240" x14ac:dyDescent="0.25">
      <c r="A158" s="73" t="s">
        <v>69</v>
      </c>
      <c r="B158" s="73"/>
      <c r="C158" s="115" t="s">
        <v>65</v>
      </c>
      <c r="D158" s="69" t="s">
        <v>56</v>
      </c>
      <c r="E158" s="76" t="s">
        <v>74</v>
      </c>
      <c r="F158" s="76" t="s">
        <v>27</v>
      </c>
      <c r="G158" s="77" t="s">
        <v>77</v>
      </c>
      <c r="H158" s="78">
        <v>3</v>
      </c>
      <c r="I158" s="83" t="s">
        <v>273</v>
      </c>
      <c r="J158" s="76" t="s">
        <v>80</v>
      </c>
      <c r="K158" s="133">
        <f>100000</f>
        <v>100000</v>
      </c>
      <c r="L158" s="133"/>
      <c r="M158" s="133"/>
      <c r="N158" s="133"/>
      <c r="O158" s="133"/>
      <c r="P158" s="133"/>
      <c r="Q158" s="172">
        <f t="shared" si="35"/>
        <v>100000</v>
      </c>
      <c r="R158" s="131" t="s">
        <v>91</v>
      </c>
    </row>
    <row r="159" spans="1:18" ht="225" x14ac:dyDescent="0.25">
      <c r="A159" s="73" t="s">
        <v>70</v>
      </c>
      <c r="B159" s="118"/>
      <c r="C159" s="284" t="s">
        <v>63</v>
      </c>
      <c r="D159" s="69"/>
      <c r="E159" s="76"/>
      <c r="F159" s="76"/>
      <c r="G159" s="77"/>
      <c r="H159" s="78"/>
      <c r="I159" s="83"/>
      <c r="J159" s="76"/>
      <c r="K159" s="133"/>
      <c r="L159" s="133"/>
      <c r="M159" s="133"/>
      <c r="N159" s="133"/>
      <c r="O159" s="133"/>
      <c r="P159" s="133"/>
      <c r="Q159" s="172">
        <f t="shared" si="34"/>
        <v>0</v>
      </c>
      <c r="R159" s="131" t="s">
        <v>95</v>
      </c>
    </row>
    <row r="160" spans="1:18" ht="204.75" customHeight="1" x14ac:dyDescent="0.25">
      <c r="A160" s="73" t="s">
        <v>149</v>
      </c>
      <c r="B160" s="73"/>
      <c r="C160" s="115" t="s">
        <v>150</v>
      </c>
      <c r="D160" s="69" t="s">
        <v>56</v>
      </c>
      <c r="E160" s="76" t="s">
        <v>74</v>
      </c>
      <c r="F160" s="76" t="s">
        <v>27</v>
      </c>
      <c r="G160" s="77" t="s">
        <v>77</v>
      </c>
      <c r="H160" s="78">
        <v>3</v>
      </c>
      <c r="I160" s="83" t="s">
        <v>274</v>
      </c>
      <c r="J160" s="76" t="s">
        <v>28</v>
      </c>
      <c r="K160" s="133">
        <f>400000</f>
        <v>400000</v>
      </c>
      <c r="L160" s="133"/>
      <c r="M160" s="133"/>
      <c r="N160" s="133"/>
      <c r="O160" s="133"/>
      <c r="P160" s="133"/>
      <c r="Q160" s="172">
        <f>SUM(K160:N160)</f>
        <v>400000</v>
      </c>
      <c r="R160" s="131"/>
    </row>
    <row r="161" spans="1:19" s="39" customFormat="1" ht="225" customHeight="1" x14ac:dyDescent="0.25">
      <c r="A161" s="73" t="s">
        <v>235</v>
      </c>
      <c r="B161" s="73"/>
      <c r="C161" s="90" t="s">
        <v>238</v>
      </c>
      <c r="D161" s="91" t="s">
        <v>56</v>
      </c>
      <c r="E161" s="73" t="s">
        <v>74</v>
      </c>
      <c r="F161" s="73" t="s">
        <v>27</v>
      </c>
      <c r="G161" s="74" t="s">
        <v>77</v>
      </c>
      <c r="H161" s="110">
        <v>3</v>
      </c>
      <c r="I161" s="111" t="s">
        <v>275</v>
      </c>
      <c r="J161" s="73" t="s">
        <v>28</v>
      </c>
      <c r="K161" s="133"/>
      <c r="L161" s="313">
        <f>235833.42+155637.83</f>
        <v>391471.25</v>
      </c>
      <c r="M161" s="133"/>
      <c r="N161" s="133"/>
      <c r="O161" s="133"/>
      <c r="P161" s="133"/>
      <c r="Q161" s="172">
        <f>SUM(K161:N161)</f>
        <v>391471.25</v>
      </c>
      <c r="R161" s="131"/>
    </row>
    <row r="162" spans="1:19" s="39" customFormat="1" ht="204.75" customHeight="1" x14ac:dyDescent="0.25">
      <c r="A162" s="73" t="s">
        <v>237</v>
      </c>
      <c r="B162" s="73"/>
      <c r="C162" s="90" t="s">
        <v>238</v>
      </c>
      <c r="D162" s="91" t="s">
        <v>56</v>
      </c>
      <c r="E162" s="73" t="s">
        <v>74</v>
      </c>
      <c r="F162" s="73" t="s">
        <v>27</v>
      </c>
      <c r="G162" s="74" t="s">
        <v>77</v>
      </c>
      <c r="H162" s="110">
        <v>3</v>
      </c>
      <c r="I162" s="111" t="s">
        <v>275</v>
      </c>
      <c r="J162" s="73" t="s">
        <v>175</v>
      </c>
      <c r="K162" s="133"/>
      <c r="L162" s="314">
        <v>62503.7</v>
      </c>
      <c r="M162" s="133"/>
      <c r="N162" s="133"/>
      <c r="O162" s="133"/>
      <c r="P162" s="133"/>
      <c r="Q162" s="172">
        <f t="shared" ref="Q162:Q168" si="36">SUM(K162:N162)</f>
        <v>62503.7</v>
      </c>
      <c r="R162" s="131"/>
    </row>
    <row r="163" spans="1:19" s="39" customFormat="1" ht="204.75" customHeight="1" x14ac:dyDescent="0.25">
      <c r="A163" s="73" t="s">
        <v>236</v>
      </c>
      <c r="B163" s="73"/>
      <c r="C163" s="90" t="s">
        <v>238</v>
      </c>
      <c r="D163" s="91" t="s">
        <v>56</v>
      </c>
      <c r="E163" s="73" t="s">
        <v>74</v>
      </c>
      <c r="F163" s="73" t="s">
        <v>27</v>
      </c>
      <c r="G163" s="74" t="s">
        <v>77</v>
      </c>
      <c r="H163" s="110">
        <v>3</v>
      </c>
      <c r="I163" s="111" t="s">
        <v>275</v>
      </c>
      <c r="J163" s="73" t="s">
        <v>80</v>
      </c>
      <c r="K163" s="133"/>
      <c r="L163" s="313">
        <f>43597.2+115370.63</f>
        <v>158967.83000000002</v>
      </c>
      <c r="M163" s="133"/>
      <c r="N163" s="133"/>
      <c r="O163" s="133"/>
      <c r="P163" s="133"/>
      <c r="Q163" s="172">
        <f t="shared" si="36"/>
        <v>158967.83000000002</v>
      </c>
      <c r="R163" s="131"/>
    </row>
    <row r="164" spans="1:19" s="56" customFormat="1" ht="209.25" customHeight="1" x14ac:dyDescent="0.25">
      <c r="A164" s="437" t="s">
        <v>301</v>
      </c>
      <c r="B164" s="381"/>
      <c r="C164" s="90" t="s">
        <v>307</v>
      </c>
      <c r="D164" s="91" t="s">
        <v>56</v>
      </c>
      <c r="E164" s="378" t="s">
        <v>74</v>
      </c>
      <c r="F164" s="378" t="s">
        <v>27</v>
      </c>
      <c r="G164" s="162" t="s">
        <v>77</v>
      </c>
      <c r="H164" s="377">
        <v>3</v>
      </c>
      <c r="I164" s="79" t="s">
        <v>302</v>
      </c>
      <c r="J164" s="378" t="s">
        <v>28</v>
      </c>
      <c r="K164" s="133"/>
      <c r="L164" s="313"/>
      <c r="M164" s="133"/>
      <c r="N164" s="133">
        <f>2093070-517253</f>
        <v>1575817</v>
      </c>
      <c r="O164" s="133"/>
      <c r="P164" s="133"/>
      <c r="Q164" s="172">
        <f t="shared" si="36"/>
        <v>1575817</v>
      </c>
      <c r="R164" s="131"/>
    </row>
    <row r="165" spans="1:19" s="435" customFormat="1" ht="209.25" customHeight="1" x14ac:dyDescent="0.25">
      <c r="A165" s="76" t="s">
        <v>332</v>
      </c>
      <c r="B165" s="76"/>
      <c r="C165" s="115" t="s">
        <v>329</v>
      </c>
      <c r="D165" s="69" t="s">
        <v>56</v>
      </c>
      <c r="E165" s="76" t="s">
        <v>74</v>
      </c>
      <c r="F165" s="76" t="s">
        <v>27</v>
      </c>
      <c r="G165" s="77" t="s">
        <v>77</v>
      </c>
      <c r="H165" s="78">
        <v>3</v>
      </c>
      <c r="I165" s="83" t="s">
        <v>335</v>
      </c>
      <c r="J165" s="76" t="s">
        <v>28</v>
      </c>
      <c r="K165" s="133"/>
      <c r="L165" s="172"/>
      <c r="M165" s="133"/>
      <c r="N165" s="172">
        <f>1871560.19+2083253.72-616601.37</f>
        <v>3338212.54</v>
      </c>
      <c r="O165" s="133"/>
      <c r="P165" s="133"/>
      <c r="Q165" s="172">
        <f t="shared" si="36"/>
        <v>3338212.54</v>
      </c>
      <c r="R165" s="450"/>
    </row>
    <row r="166" spans="1:19" s="435" customFormat="1" ht="209.25" customHeight="1" x14ac:dyDescent="0.25">
      <c r="A166" s="76" t="s">
        <v>333</v>
      </c>
      <c r="B166" s="76"/>
      <c r="C166" s="115" t="s">
        <v>329</v>
      </c>
      <c r="D166" s="69" t="s">
        <v>56</v>
      </c>
      <c r="E166" s="76" t="s">
        <v>74</v>
      </c>
      <c r="F166" s="76" t="s">
        <v>27</v>
      </c>
      <c r="G166" s="77" t="s">
        <v>77</v>
      </c>
      <c r="H166" s="78">
        <v>3</v>
      </c>
      <c r="I166" s="83" t="s">
        <v>335</v>
      </c>
      <c r="J166" s="76" t="s">
        <v>175</v>
      </c>
      <c r="K166" s="133"/>
      <c r="L166" s="172"/>
      <c r="M166" s="133"/>
      <c r="N166" s="172">
        <f>8263264.09+616601.37</f>
        <v>8879865.459999999</v>
      </c>
      <c r="O166" s="133"/>
      <c r="P166" s="133"/>
      <c r="Q166" s="172">
        <f t="shared" si="36"/>
        <v>8879865.459999999</v>
      </c>
      <c r="R166" s="450"/>
    </row>
    <row r="167" spans="1:19" s="435" customFormat="1" ht="209.25" customHeight="1" x14ac:dyDescent="0.25">
      <c r="A167" s="76" t="s">
        <v>334</v>
      </c>
      <c r="B167" s="76"/>
      <c r="C167" s="115" t="s">
        <v>326</v>
      </c>
      <c r="D167" s="69" t="s">
        <v>56</v>
      </c>
      <c r="E167" s="76" t="s">
        <v>74</v>
      </c>
      <c r="F167" s="76" t="s">
        <v>27</v>
      </c>
      <c r="G167" s="77" t="s">
        <v>77</v>
      </c>
      <c r="H167" s="78">
        <v>3</v>
      </c>
      <c r="I167" s="83" t="s">
        <v>330</v>
      </c>
      <c r="J167" s="76" t="s">
        <v>28</v>
      </c>
      <c r="K167" s="133"/>
      <c r="L167" s="172"/>
      <c r="M167" s="133"/>
      <c r="N167" s="172">
        <f>517253+38581.28+197463.65-232846.37</f>
        <v>520451.56000000006</v>
      </c>
      <c r="O167" s="133"/>
      <c r="P167" s="133"/>
      <c r="Q167" s="172">
        <f t="shared" si="36"/>
        <v>520451.56000000006</v>
      </c>
      <c r="R167" s="450"/>
    </row>
    <row r="168" spans="1:19" s="435" customFormat="1" ht="209.25" customHeight="1" x14ac:dyDescent="0.25">
      <c r="A168" s="76" t="s">
        <v>337</v>
      </c>
      <c r="B168" s="76"/>
      <c r="C168" s="115" t="s">
        <v>326</v>
      </c>
      <c r="D168" s="69" t="s">
        <v>56</v>
      </c>
      <c r="E168" s="76" t="s">
        <v>74</v>
      </c>
      <c r="F168" s="76" t="s">
        <v>27</v>
      </c>
      <c r="G168" s="77" t="s">
        <v>77</v>
      </c>
      <c r="H168" s="78">
        <v>3</v>
      </c>
      <c r="I168" s="83" t="s">
        <v>330</v>
      </c>
      <c r="J168" s="76" t="s">
        <v>175</v>
      </c>
      <c r="K168" s="133"/>
      <c r="L168" s="172"/>
      <c r="M168" s="133"/>
      <c r="N168" s="172">
        <f>1573955.07+232846.37</f>
        <v>1806801.44</v>
      </c>
      <c r="O168" s="133"/>
      <c r="P168" s="133"/>
      <c r="Q168" s="172">
        <f t="shared" si="36"/>
        <v>1806801.44</v>
      </c>
      <c r="R168" s="450"/>
    </row>
    <row r="169" spans="1:19" x14ac:dyDescent="0.25">
      <c r="A169" s="73"/>
      <c r="B169" s="73"/>
      <c r="C169" s="115" t="s">
        <v>23</v>
      </c>
      <c r="D169" s="69"/>
      <c r="E169" s="115"/>
      <c r="F169" s="115"/>
      <c r="G169" s="77"/>
      <c r="H169" s="78"/>
      <c r="I169" s="71"/>
      <c r="J169" s="115"/>
      <c r="K169" s="172">
        <f>SUM(K146:K160)</f>
        <v>2391946.94</v>
      </c>
      <c r="L169" s="172">
        <f>SUM(L146:L163)</f>
        <v>2916688.5300000003</v>
      </c>
      <c r="M169" s="172">
        <f>SUM(M146:M159)</f>
        <v>939634.46</v>
      </c>
      <c r="N169" s="172">
        <f>SUM(N146:N168)</f>
        <v>16721892.009999998</v>
      </c>
      <c r="O169" s="172"/>
      <c r="P169" s="172"/>
      <c r="Q169" s="172">
        <f>SUM(Q146:Q168)</f>
        <v>22970161.939999998</v>
      </c>
      <c r="R169" s="91"/>
    </row>
    <row r="170" spans="1:19" ht="15.75" customHeight="1" x14ac:dyDescent="0.25">
      <c r="A170" s="75" t="s">
        <v>67</v>
      </c>
      <c r="B170" s="175"/>
      <c r="C170" s="459" t="s">
        <v>230</v>
      </c>
      <c r="D170" s="460"/>
      <c r="E170" s="460"/>
      <c r="F170" s="460"/>
      <c r="G170" s="460"/>
      <c r="H170" s="460"/>
      <c r="I170" s="460"/>
      <c r="J170" s="460"/>
      <c r="K170" s="460"/>
      <c r="L170" s="460"/>
      <c r="M170" s="460"/>
      <c r="N170" s="460"/>
      <c r="O170" s="460"/>
      <c r="P170" s="460"/>
      <c r="Q170" s="461"/>
      <c r="R170" s="176"/>
    </row>
    <row r="171" spans="1:19" ht="15.75" customHeight="1" x14ac:dyDescent="0.25">
      <c r="A171" s="177" t="s">
        <v>43</v>
      </c>
      <c r="B171" s="177"/>
      <c r="C171" s="482" t="s">
        <v>66</v>
      </c>
      <c r="D171" s="287" t="s">
        <v>56</v>
      </c>
      <c r="E171" s="76" t="s">
        <v>74</v>
      </c>
      <c r="F171" s="76" t="s">
        <v>26</v>
      </c>
      <c r="G171" s="77" t="s">
        <v>77</v>
      </c>
      <c r="H171" s="78">
        <v>3</v>
      </c>
      <c r="I171" s="111" t="s">
        <v>249</v>
      </c>
      <c r="J171" s="76" t="s">
        <v>45</v>
      </c>
      <c r="K171" s="178">
        <v>630921.29</v>
      </c>
      <c r="L171" s="178">
        <v>851638.78</v>
      </c>
      <c r="M171" s="178">
        <v>881415.33</v>
      </c>
      <c r="N171" s="178">
        <v>893356.96</v>
      </c>
      <c r="O171" s="178">
        <v>893356.96</v>
      </c>
      <c r="P171" s="178">
        <v>893356.96</v>
      </c>
      <c r="Q171" s="178">
        <f>SUM(K171:P171)</f>
        <v>5044046.2799999993</v>
      </c>
      <c r="R171" s="476"/>
    </row>
    <row r="172" spans="1:19" s="48" customFormat="1" x14ac:dyDescent="0.25">
      <c r="A172" s="179"/>
      <c r="B172" s="179"/>
      <c r="C172" s="489"/>
      <c r="D172" s="289" t="s">
        <v>56</v>
      </c>
      <c r="E172" s="73" t="s">
        <v>74</v>
      </c>
      <c r="F172" s="73" t="s">
        <v>26</v>
      </c>
      <c r="G172" s="74" t="s">
        <v>77</v>
      </c>
      <c r="H172" s="110">
        <v>3</v>
      </c>
      <c r="I172" s="315" t="s">
        <v>280</v>
      </c>
      <c r="J172" s="73" t="s">
        <v>45</v>
      </c>
      <c r="K172" s="316">
        <v>192955</v>
      </c>
      <c r="L172" s="186">
        <v>279508.87</v>
      </c>
      <c r="M172" s="186">
        <v>269610.46000000002</v>
      </c>
      <c r="N172" s="186">
        <v>258552.31</v>
      </c>
      <c r="O172" s="186">
        <v>258552.31</v>
      </c>
      <c r="P172" s="186">
        <v>258552.31</v>
      </c>
      <c r="Q172" s="186">
        <f>SUM(K172:P172)</f>
        <v>1517731.2600000002</v>
      </c>
      <c r="R172" s="477"/>
    </row>
    <row r="173" spans="1:19" s="44" customFormat="1" x14ac:dyDescent="0.25">
      <c r="A173" s="179"/>
      <c r="B173" s="179"/>
      <c r="C173" s="489"/>
      <c r="D173" s="287" t="s">
        <v>56</v>
      </c>
      <c r="E173" s="76" t="s">
        <v>74</v>
      </c>
      <c r="F173" s="83" t="s">
        <v>26</v>
      </c>
      <c r="G173" s="84" t="s">
        <v>77</v>
      </c>
      <c r="H173" s="78">
        <v>3</v>
      </c>
      <c r="I173" s="111" t="s">
        <v>249</v>
      </c>
      <c r="J173" s="76" t="s">
        <v>277</v>
      </c>
      <c r="K173" s="178">
        <v>190538.23</v>
      </c>
      <c r="L173" s="178">
        <v>257164.71</v>
      </c>
      <c r="M173" s="178">
        <v>264351.81</v>
      </c>
      <c r="N173" s="178">
        <v>269793.8</v>
      </c>
      <c r="O173" s="178">
        <v>269793.8</v>
      </c>
      <c r="P173" s="178">
        <v>269793.8</v>
      </c>
      <c r="Q173" s="178">
        <f t="shared" ref="Q173:Q175" si="37">SUM(K173:P173)</f>
        <v>1521436.1500000001</v>
      </c>
      <c r="R173" s="477"/>
    </row>
    <row r="174" spans="1:19" s="48" customFormat="1" x14ac:dyDescent="0.25">
      <c r="A174" s="179"/>
      <c r="B174" s="179"/>
      <c r="C174" s="489"/>
      <c r="D174" s="289" t="s">
        <v>56</v>
      </c>
      <c r="E174" s="73" t="s">
        <v>74</v>
      </c>
      <c r="F174" s="111" t="s">
        <v>26</v>
      </c>
      <c r="G174" s="317" t="s">
        <v>77</v>
      </c>
      <c r="H174" s="110">
        <v>3</v>
      </c>
      <c r="I174" s="315" t="s">
        <v>280</v>
      </c>
      <c r="J174" s="73" t="s">
        <v>277</v>
      </c>
      <c r="K174" s="316">
        <v>58272.41</v>
      </c>
      <c r="L174" s="186">
        <v>84411.69</v>
      </c>
      <c r="M174" s="186">
        <v>80347.22</v>
      </c>
      <c r="N174" s="186">
        <v>78082.8</v>
      </c>
      <c r="O174" s="186">
        <v>78082.8</v>
      </c>
      <c r="P174" s="186">
        <v>78082.8</v>
      </c>
      <c r="Q174" s="186">
        <f t="shared" si="37"/>
        <v>457279.72</v>
      </c>
      <c r="R174" s="477"/>
    </row>
    <row r="175" spans="1:19" ht="24" customHeight="1" x14ac:dyDescent="0.25">
      <c r="A175" s="179"/>
      <c r="B175" s="487"/>
      <c r="C175" s="489"/>
      <c r="D175" s="287" t="s">
        <v>56</v>
      </c>
      <c r="E175" s="76" t="s">
        <v>74</v>
      </c>
      <c r="F175" s="83" t="s">
        <v>26</v>
      </c>
      <c r="G175" s="84" t="s">
        <v>77</v>
      </c>
      <c r="H175" s="78">
        <v>3</v>
      </c>
      <c r="I175" s="111" t="s">
        <v>249</v>
      </c>
      <c r="J175" s="76" t="s">
        <v>126</v>
      </c>
      <c r="K175" s="178">
        <f>7200-3200</f>
        <v>4000</v>
      </c>
      <c r="L175" s="178">
        <v>2484.59</v>
      </c>
      <c r="M175" s="178">
        <f>780+23583+574.6</f>
        <v>24937.599999999999</v>
      </c>
      <c r="N175" s="178">
        <f>780+666.25</f>
        <v>1446.25</v>
      </c>
      <c r="O175" s="178">
        <v>780</v>
      </c>
      <c r="P175" s="178">
        <v>780</v>
      </c>
      <c r="Q175" s="178">
        <f t="shared" si="37"/>
        <v>34428.44</v>
      </c>
      <c r="R175" s="477"/>
      <c r="S175" s="9" t="s">
        <v>190</v>
      </c>
    </row>
    <row r="176" spans="1:19" x14ac:dyDescent="0.25">
      <c r="A176" s="179"/>
      <c r="B176" s="487"/>
      <c r="C176" s="489"/>
      <c r="D176" s="287" t="s">
        <v>56</v>
      </c>
      <c r="E176" s="76" t="s">
        <v>74</v>
      </c>
      <c r="F176" s="83" t="s">
        <v>26</v>
      </c>
      <c r="G176" s="84" t="s">
        <v>77</v>
      </c>
      <c r="H176" s="78">
        <v>3</v>
      </c>
      <c r="I176" s="111" t="s">
        <v>249</v>
      </c>
      <c r="J176" s="83" t="s">
        <v>28</v>
      </c>
      <c r="K176" s="178">
        <f>290346.4+3200-58031.49</f>
        <v>235514.91000000003</v>
      </c>
      <c r="L176" s="178">
        <f>354416.44</f>
        <v>354416.44</v>
      </c>
      <c r="M176" s="178">
        <f>347279.03-23583-574.6-20000</f>
        <v>303121.43000000005</v>
      </c>
      <c r="N176" s="178">
        <f>336539.03-666.25</f>
        <v>335872.78</v>
      </c>
      <c r="O176" s="178">
        <v>336539.03</v>
      </c>
      <c r="P176" s="178">
        <v>336539.03</v>
      </c>
      <c r="Q176" s="178">
        <f>SUM(K176:P176)</f>
        <v>1902003.62</v>
      </c>
      <c r="R176" s="478"/>
    </row>
    <row r="177" spans="1:18" x14ac:dyDescent="0.25">
      <c r="A177" s="179"/>
      <c r="B177" s="487"/>
      <c r="C177" s="489"/>
      <c r="D177" s="287" t="s">
        <v>56</v>
      </c>
      <c r="E177" s="76" t="s">
        <v>74</v>
      </c>
      <c r="F177" s="83" t="s">
        <v>26</v>
      </c>
      <c r="G177" s="84" t="s">
        <v>77</v>
      </c>
      <c r="H177" s="78">
        <v>3</v>
      </c>
      <c r="I177" s="111" t="s">
        <v>249</v>
      </c>
      <c r="J177" s="83" t="s">
        <v>127</v>
      </c>
      <c r="K177" s="178">
        <v>4500</v>
      </c>
      <c r="L177" s="178">
        <f>878.56+1000</f>
        <v>1878.56</v>
      </c>
      <c r="M177" s="178">
        <v>1000</v>
      </c>
      <c r="N177" s="9"/>
      <c r="O177" s="9"/>
      <c r="P177" s="9"/>
      <c r="Q177" s="178">
        <f>SUM(K177:P177)</f>
        <v>7378.5599999999995</v>
      </c>
      <c r="R177" s="130"/>
    </row>
    <row r="178" spans="1:18" s="56" customFormat="1" x14ac:dyDescent="0.25">
      <c r="A178" s="396"/>
      <c r="B178" s="487"/>
      <c r="C178" s="489"/>
      <c r="D178" s="395" t="s">
        <v>56</v>
      </c>
      <c r="E178" s="76" t="s">
        <v>74</v>
      </c>
      <c r="F178" s="83" t="s">
        <v>26</v>
      </c>
      <c r="G178" s="84" t="s">
        <v>77</v>
      </c>
      <c r="H178" s="78">
        <v>3</v>
      </c>
      <c r="I178" s="111" t="s">
        <v>249</v>
      </c>
      <c r="J178" s="83" t="s">
        <v>312</v>
      </c>
      <c r="K178" s="178"/>
      <c r="L178" s="178"/>
      <c r="M178" s="178"/>
      <c r="N178" s="178">
        <v>878.56</v>
      </c>
      <c r="O178" s="178">
        <v>878.56</v>
      </c>
      <c r="P178" s="178">
        <v>878.56</v>
      </c>
      <c r="Q178" s="178">
        <f>SUM(K178:P178)</f>
        <v>2635.68</v>
      </c>
      <c r="R178" s="130"/>
    </row>
    <row r="179" spans="1:18" x14ac:dyDescent="0.25">
      <c r="A179" s="184"/>
      <c r="B179" s="487"/>
      <c r="C179" s="489"/>
      <c r="D179" s="287" t="s">
        <v>56</v>
      </c>
      <c r="E179" s="76" t="s">
        <v>74</v>
      </c>
      <c r="F179" s="83" t="s">
        <v>26</v>
      </c>
      <c r="G179" s="84" t="s">
        <v>77</v>
      </c>
      <c r="H179" s="78">
        <v>3</v>
      </c>
      <c r="I179" s="83" t="s">
        <v>275</v>
      </c>
      <c r="J179" s="76" t="s">
        <v>126</v>
      </c>
      <c r="K179" s="178"/>
      <c r="L179" s="178">
        <v>10416</v>
      </c>
      <c r="M179" s="178">
        <v>0</v>
      </c>
      <c r="N179" s="178">
        <v>0</v>
      </c>
      <c r="O179" s="178">
        <v>0</v>
      </c>
      <c r="P179" s="178">
        <v>0</v>
      </c>
      <c r="Q179" s="178">
        <f t="shared" ref="Q179:Q181" si="38">SUM(K179:O179)</f>
        <v>10416</v>
      </c>
      <c r="R179" s="130"/>
    </row>
    <row r="180" spans="1:18" s="56" customFormat="1" x14ac:dyDescent="0.25">
      <c r="A180" s="184"/>
      <c r="B180" s="487"/>
      <c r="C180" s="489"/>
      <c r="D180" s="372" t="s">
        <v>56</v>
      </c>
      <c r="E180" s="76" t="s">
        <v>74</v>
      </c>
      <c r="F180" s="83" t="s">
        <v>26</v>
      </c>
      <c r="G180" s="84" t="s">
        <v>77</v>
      </c>
      <c r="H180" s="78">
        <v>3</v>
      </c>
      <c r="I180" s="83" t="s">
        <v>299</v>
      </c>
      <c r="J180" s="76" t="s">
        <v>126</v>
      </c>
      <c r="K180" s="178"/>
      <c r="L180" s="178"/>
      <c r="M180" s="178">
        <v>7500</v>
      </c>
      <c r="N180" s="178"/>
      <c r="O180" s="178"/>
      <c r="P180" s="178"/>
      <c r="Q180" s="178">
        <f t="shared" si="38"/>
        <v>7500</v>
      </c>
      <c r="R180" s="130"/>
    </row>
    <row r="181" spans="1:18" s="56" customFormat="1" x14ac:dyDescent="0.25">
      <c r="A181" s="184"/>
      <c r="B181" s="488"/>
      <c r="C181" s="483"/>
      <c r="D181" s="372" t="s">
        <v>56</v>
      </c>
      <c r="E181" s="76" t="s">
        <v>74</v>
      </c>
      <c r="F181" s="83" t="s">
        <v>26</v>
      </c>
      <c r="G181" s="84" t="s">
        <v>77</v>
      </c>
      <c r="H181" s="78">
        <v>3</v>
      </c>
      <c r="I181" s="83" t="s">
        <v>299</v>
      </c>
      <c r="J181" s="76" t="s">
        <v>277</v>
      </c>
      <c r="K181" s="178"/>
      <c r="L181" s="178"/>
      <c r="M181" s="178">
        <v>2265</v>
      </c>
      <c r="N181" s="178"/>
      <c r="O181" s="178"/>
      <c r="P181" s="178"/>
      <c r="Q181" s="178">
        <f t="shared" si="38"/>
        <v>2265</v>
      </c>
      <c r="R181" s="130"/>
    </row>
    <row r="182" spans="1:18" ht="15.75" customHeight="1" x14ac:dyDescent="0.25">
      <c r="A182" s="73"/>
      <c r="B182" s="73"/>
      <c r="C182" s="90" t="s">
        <v>44</v>
      </c>
      <c r="D182" s="91"/>
      <c r="E182" s="90"/>
      <c r="F182" s="90"/>
      <c r="G182" s="74"/>
      <c r="H182" s="110"/>
      <c r="I182" s="185"/>
      <c r="J182" s="90"/>
      <c r="K182" s="186">
        <f>SUM(K171:K179)</f>
        <v>1316701.8399999999</v>
      </c>
      <c r="L182" s="186">
        <f>SUM(L171:L179)</f>
        <v>1841919.64</v>
      </c>
      <c r="M182" s="186">
        <f>SUM(M171:M181)</f>
        <v>1834548.85</v>
      </c>
      <c r="N182" s="186">
        <f>SUM(N171:N179)</f>
        <v>1837983.4600000002</v>
      </c>
      <c r="O182" s="186">
        <f>SUM(O171:O179)</f>
        <v>1837983.4600000002</v>
      </c>
      <c r="P182" s="186">
        <f>SUM(P171:P179)</f>
        <v>1837983.4600000002</v>
      </c>
      <c r="Q182" s="178">
        <f>SUM(K182:P182)</f>
        <v>10507120.710000001</v>
      </c>
      <c r="R182" s="91"/>
    </row>
    <row r="183" spans="1:18" x14ac:dyDescent="0.25">
      <c r="A183" s="58"/>
      <c r="B183" s="58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59"/>
    </row>
  </sheetData>
  <mergeCells count="91">
    <mergeCell ref="A43:A44"/>
    <mergeCell ref="B43:B44"/>
    <mergeCell ref="C43:C44"/>
    <mergeCell ref="D43:D44"/>
    <mergeCell ref="A84:A87"/>
    <mergeCell ref="A88:A90"/>
    <mergeCell ref="R81:R83"/>
    <mergeCell ref="R63:R65"/>
    <mergeCell ref="C80:Q80"/>
    <mergeCell ref="C84:C87"/>
    <mergeCell ref="B88:B90"/>
    <mergeCell ref="C88:C90"/>
    <mergeCell ref="A139:A140"/>
    <mergeCell ref="C139:C140"/>
    <mergeCell ref="R139:R140"/>
    <mergeCell ref="R93:R101"/>
    <mergeCell ref="R137:R138"/>
    <mergeCell ref="A111:A116"/>
    <mergeCell ref="B111:B116"/>
    <mergeCell ref="A102:A103"/>
    <mergeCell ref="C133:Q133"/>
    <mergeCell ref="C136:Q136"/>
    <mergeCell ref="A137:A138"/>
    <mergeCell ref="C137:C138"/>
    <mergeCell ref="O102:O103"/>
    <mergeCell ref="P102:P103"/>
    <mergeCell ref="Q102:Q103"/>
    <mergeCell ref="C18:C23"/>
    <mergeCell ref="C117:Q117"/>
    <mergeCell ref="C102:C103"/>
    <mergeCell ref="C111:C116"/>
    <mergeCell ref="C61:Q61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A7:A11"/>
    <mergeCell ref="C7:C11"/>
    <mergeCell ref="A12:A16"/>
    <mergeCell ref="B12:B16"/>
    <mergeCell ref="A93:A101"/>
    <mergeCell ref="A81:A83"/>
    <mergeCell ref="C81:C83"/>
    <mergeCell ref="C92:Q92"/>
    <mergeCell ref="C77:C78"/>
    <mergeCell ref="C93:C101"/>
    <mergeCell ref="A56:A59"/>
    <mergeCell ref="C56:C59"/>
    <mergeCell ref="C12:C16"/>
    <mergeCell ref="A48:A50"/>
    <mergeCell ref="B7:B11"/>
    <mergeCell ref="C17:Q17"/>
    <mergeCell ref="R171:R176"/>
    <mergeCell ref="A141:A142"/>
    <mergeCell ref="B141:B142"/>
    <mergeCell ref="C141:C142"/>
    <mergeCell ref="D141:D142"/>
    <mergeCell ref="R146:R147"/>
    <mergeCell ref="C145:Q145"/>
    <mergeCell ref="A146:A147"/>
    <mergeCell ref="C146:C147"/>
    <mergeCell ref="D146:D147"/>
    <mergeCell ref="B150:B154"/>
    <mergeCell ref="A150:A154"/>
    <mergeCell ref="C170:Q170"/>
    <mergeCell ref="C150:C155"/>
    <mergeCell ref="B175:B181"/>
    <mergeCell ref="C171:C181"/>
    <mergeCell ref="R48:R50"/>
    <mergeCell ref="R18:R23"/>
    <mergeCell ref="C24:C25"/>
    <mergeCell ref="C47:Q47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  <rowBreaks count="2" manualBreakCount="2">
    <brk id="82" max="17" man="1"/>
    <brk id="10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67" zoomScaleNormal="85" zoomScaleSheetLayoutView="67" workbookViewId="0">
      <selection activeCell="L1" sqref="L1:P1"/>
    </sheetView>
  </sheetViews>
  <sheetFormatPr defaultColWidth="9.109375" defaultRowHeight="15.6" outlineLevelCol="1" x14ac:dyDescent="0.3"/>
  <cols>
    <col min="1" max="1" width="19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55468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20.10937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519" t="s">
        <v>350</v>
      </c>
      <c r="M1" s="519"/>
      <c r="N1" s="519"/>
      <c r="O1" s="519"/>
      <c r="P1" s="519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538" t="s">
        <v>294</v>
      </c>
      <c r="M2" s="538"/>
      <c r="N2" s="538"/>
      <c r="O2" s="538"/>
      <c r="P2" s="538"/>
    </row>
    <row r="3" spans="1:23" ht="51" customHeight="1" x14ac:dyDescent="0.3">
      <c r="A3" s="541" t="s">
        <v>204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542" t="s">
        <v>201</v>
      </c>
      <c r="B5" s="542" t="s">
        <v>205</v>
      </c>
      <c r="C5" s="542" t="s">
        <v>283</v>
      </c>
      <c r="D5" s="542" t="s">
        <v>46</v>
      </c>
      <c r="E5" s="542"/>
      <c r="F5" s="542"/>
      <c r="G5" s="542"/>
      <c r="H5" s="542"/>
      <c r="I5" s="542"/>
      <c r="J5" s="542" t="s">
        <v>202</v>
      </c>
      <c r="K5" s="542"/>
      <c r="L5" s="542"/>
      <c r="M5" s="542"/>
      <c r="N5" s="542"/>
      <c r="O5" s="542"/>
      <c r="P5" s="542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542"/>
      <c r="B6" s="542"/>
      <c r="C6" s="542"/>
      <c r="D6" s="189" t="s">
        <v>6</v>
      </c>
      <c r="E6" s="189" t="s">
        <v>7</v>
      </c>
      <c r="F6" s="521" t="s">
        <v>8</v>
      </c>
      <c r="G6" s="522"/>
      <c r="H6" s="523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242</v>
      </c>
      <c r="O6" s="189" t="s">
        <v>290</v>
      </c>
      <c r="P6" s="189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530" t="s">
        <v>76</v>
      </c>
      <c r="B7" s="530" t="s">
        <v>178</v>
      </c>
      <c r="C7" s="297" t="s">
        <v>47</v>
      </c>
      <c r="D7" s="298" t="s">
        <v>48</v>
      </c>
      <c r="E7" s="298" t="s">
        <v>48</v>
      </c>
      <c r="F7" s="532" t="s">
        <v>48</v>
      </c>
      <c r="G7" s="533"/>
      <c r="H7" s="534"/>
      <c r="I7" s="298" t="s">
        <v>48</v>
      </c>
      <c r="J7" s="300">
        <f>J10+J9+J8</f>
        <v>65340733.626420006</v>
      </c>
      <c r="K7" s="300">
        <f>K10+K9+K8</f>
        <v>59975697.280000001</v>
      </c>
      <c r="L7" s="300">
        <f>L10+L9+L8</f>
        <v>59147703.499999993</v>
      </c>
      <c r="M7" s="318">
        <f>M10+M9+M8</f>
        <v>83555789.060000002</v>
      </c>
      <c r="N7" s="300">
        <f t="shared" ref="N7:O7" si="0">N10+N9+N8</f>
        <v>56661609.940000005</v>
      </c>
      <c r="O7" s="300">
        <f t="shared" si="0"/>
        <v>56661609.940000005</v>
      </c>
      <c r="P7" s="299">
        <f>SUM(J7:O7)</f>
        <v>381343143.34641999</v>
      </c>
      <c r="W7" s="5"/>
    </row>
    <row r="8" spans="1:23" ht="34.5" customHeight="1" x14ac:dyDescent="0.3">
      <c r="A8" s="530"/>
      <c r="B8" s="530"/>
      <c r="C8" s="69" t="s">
        <v>191</v>
      </c>
      <c r="D8" s="192" t="s">
        <v>74</v>
      </c>
      <c r="E8" s="189" t="s">
        <v>48</v>
      </c>
      <c r="F8" s="521" t="s">
        <v>48</v>
      </c>
      <c r="G8" s="522"/>
      <c r="H8" s="523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M13+M18</f>
        <v>2114580</v>
      </c>
      <c r="N8" s="191">
        <v>0</v>
      </c>
      <c r="O8" s="191"/>
      <c r="P8" s="104">
        <f>SUM(J8:N8)</f>
        <v>8336740</v>
      </c>
      <c r="W8" s="5"/>
    </row>
    <row r="9" spans="1:23" ht="30" x14ac:dyDescent="0.3">
      <c r="A9" s="530"/>
      <c r="B9" s="530"/>
      <c r="C9" s="69" t="s">
        <v>192</v>
      </c>
      <c r="D9" s="192"/>
      <c r="E9" s="189" t="s">
        <v>48</v>
      </c>
      <c r="F9" s="521" t="s">
        <v>48</v>
      </c>
      <c r="G9" s="522"/>
      <c r="H9" s="523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17736542.849999998</v>
      </c>
      <c r="N9" s="191">
        <f>N16++N19+N24</f>
        <v>0</v>
      </c>
      <c r="O9" s="191"/>
      <c r="P9" s="104">
        <f>SUM(J9:N9)</f>
        <v>27122349.399999999</v>
      </c>
      <c r="W9" s="5"/>
    </row>
    <row r="10" spans="1:23" ht="40.5" customHeight="1" x14ac:dyDescent="0.3">
      <c r="A10" s="524"/>
      <c r="B10" s="524"/>
      <c r="C10" s="69" t="s">
        <v>193</v>
      </c>
      <c r="D10" s="192"/>
      <c r="E10" s="189" t="s">
        <v>48</v>
      </c>
      <c r="F10" s="521" t="s">
        <v>48</v>
      </c>
      <c r="G10" s="522"/>
      <c r="H10" s="523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63704666.210000001</v>
      </c>
      <c r="N10" s="191">
        <f>N15+N20+N25</f>
        <v>56661609.940000005</v>
      </c>
      <c r="O10" s="191">
        <f>O15+O20+O25</f>
        <v>56661609.940000005</v>
      </c>
      <c r="P10" s="104">
        <f>SUM(J10:O10)</f>
        <v>345884053.94642001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531"/>
      <c r="B11" s="531"/>
      <c r="C11" s="190"/>
      <c r="D11" s="192"/>
      <c r="E11" s="189"/>
      <c r="F11" s="521"/>
      <c r="G11" s="522"/>
      <c r="H11" s="523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524" t="s">
        <v>49</v>
      </c>
      <c r="B12" s="543" t="s">
        <v>144</v>
      </c>
      <c r="C12" s="297" t="s">
        <v>50</v>
      </c>
      <c r="D12" s="298"/>
      <c r="E12" s="298" t="s">
        <v>48</v>
      </c>
      <c r="F12" s="532" t="s">
        <v>48</v>
      </c>
      <c r="G12" s="533"/>
      <c r="H12" s="534"/>
      <c r="I12" s="298" t="s">
        <v>48</v>
      </c>
      <c r="J12" s="299">
        <f>J15+J14</f>
        <v>9957712.4564199988</v>
      </c>
      <c r="K12" s="299">
        <f>K15+K13+K14</f>
        <v>10484619.77</v>
      </c>
      <c r="L12" s="299">
        <f>L15+L13+L14</f>
        <v>10359883.650000002</v>
      </c>
      <c r="M12" s="299">
        <f>M15+M13+M14</f>
        <v>11486268.15</v>
      </c>
      <c r="N12" s="299">
        <f>N15+N13</f>
        <v>10486041.66</v>
      </c>
      <c r="O12" s="299">
        <f>O15+O13</f>
        <v>10486041.66</v>
      </c>
      <c r="P12" s="299">
        <f>SUM(J12:O12)</f>
        <v>63260567.346420005</v>
      </c>
    </row>
    <row r="13" spans="1:23" ht="51" customHeight="1" x14ac:dyDescent="0.3">
      <c r="A13" s="524"/>
      <c r="B13" s="543"/>
      <c r="C13" s="69" t="s">
        <v>191</v>
      </c>
      <c r="D13" s="192" t="s">
        <v>74</v>
      </c>
      <c r="E13" s="189" t="s">
        <v>48</v>
      </c>
      <c r="F13" s="521" t="s">
        <v>48</v>
      </c>
      <c r="G13" s="522"/>
      <c r="H13" s="523"/>
      <c r="I13" s="189" t="s">
        <v>48</v>
      </c>
      <c r="J13" s="191">
        <v>0</v>
      </c>
      <c r="K13" s="104">
        <f>'прил 3'!K49</f>
        <v>3000</v>
      </c>
      <c r="L13" s="191">
        <f>2500-300</f>
        <v>2200</v>
      </c>
      <c r="M13" s="96">
        <f>Прил2!N14</f>
        <v>2100</v>
      </c>
      <c r="N13" s="191">
        <v>0</v>
      </c>
      <c r="O13" s="191"/>
      <c r="P13" s="104">
        <f t="shared" si="1"/>
        <v>7300</v>
      </c>
    </row>
    <row r="14" spans="1:23" ht="30" x14ac:dyDescent="0.3">
      <c r="A14" s="524"/>
      <c r="B14" s="543"/>
      <c r="C14" s="69" t="s">
        <v>192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'прил 3'!K50</f>
        <v>329979.43</v>
      </c>
      <c r="L14" s="104">
        <f>Прил2!M15</f>
        <v>121929.48000000001</v>
      </c>
      <c r="M14" s="104">
        <f>Прил2!N15</f>
        <v>1289103.6599999999</v>
      </c>
      <c r="N14" s="104">
        <f>Прил2!O15</f>
        <v>0</v>
      </c>
      <c r="O14" s="104">
        <f>Прил2!P15</f>
        <v>0</v>
      </c>
      <c r="P14" s="104">
        <f>SUM(J14:N14)</f>
        <v>2055543.7799999998</v>
      </c>
    </row>
    <row r="15" spans="1:23" ht="30" x14ac:dyDescent="0.3">
      <c r="A15" s="524"/>
      <c r="B15" s="543"/>
      <c r="C15" s="69" t="s">
        <v>193</v>
      </c>
      <c r="D15" s="192"/>
      <c r="E15" s="189"/>
      <c r="F15" s="521"/>
      <c r="G15" s="522"/>
      <c r="H15" s="523"/>
      <c r="I15" s="189"/>
      <c r="J15" s="104">
        <f>'прил 3'!J51</f>
        <v>9643181.2464199979</v>
      </c>
      <c r="K15" s="104">
        <f>'прил 3'!K51</f>
        <v>10151640.34</v>
      </c>
      <c r="L15" s="104">
        <f>'прил 3'!L51</f>
        <v>10235754.170000002</v>
      </c>
      <c r="M15" s="96">
        <f>Прил2!N16</f>
        <v>10195064.49</v>
      </c>
      <c r="N15" s="104">
        <f>'прил 3'!N51</f>
        <v>10486041.66</v>
      </c>
      <c r="O15" s="104">
        <f>'прил 3'!O51</f>
        <v>10486041.66</v>
      </c>
      <c r="P15" s="104">
        <f>SUM(J15:O16)</f>
        <v>61197723.566420004</v>
      </c>
    </row>
    <row r="16" spans="1:23" hidden="1" x14ac:dyDescent="0.3">
      <c r="A16" s="524"/>
      <c r="B16" s="543"/>
      <c r="C16" s="190"/>
      <c r="D16" s="103"/>
      <c r="E16" s="189"/>
      <c r="F16" s="521"/>
      <c r="G16" s="522"/>
      <c r="H16" s="523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527" t="s">
        <v>51</v>
      </c>
      <c r="B17" s="535" t="s">
        <v>145</v>
      </c>
      <c r="C17" s="348" t="s">
        <v>52</v>
      </c>
      <c r="D17" s="192"/>
      <c r="E17" s="347" t="s">
        <v>48</v>
      </c>
      <c r="F17" s="521" t="s">
        <v>48</v>
      </c>
      <c r="G17" s="522"/>
      <c r="H17" s="523"/>
      <c r="I17" s="347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42175604.719999999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220561544.21000004</v>
      </c>
    </row>
    <row r="18" spans="1:16" ht="39" customHeight="1" x14ac:dyDescent="0.3">
      <c r="A18" s="528"/>
      <c r="B18" s="536"/>
      <c r="C18" s="69" t="s">
        <v>191</v>
      </c>
      <c r="D18" s="192"/>
      <c r="E18" s="347" t="s">
        <v>48</v>
      </c>
      <c r="F18" s="521" t="s">
        <v>48</v>
      </c>
      <c r="G18" s="522"/>
      <c r="H18" s="523"/>
      <c r="I18" s="347" t="s">
        <v>48</v>
      </c>
      <c r="J18" s="104">
        <v>6181600</v>
      </c>
      <c r="K18" s="104">
        <v>0</v>
      </c>
      <c r="L18" s="104">
        <v>0</v>
      </c>
      <c r="M18" s="96">
        <f>Прил2!N58</f>
        <v>2112480</v>
      </c>
      <c r="N18" s="104">
        <v>0</v>
      </c>
      <c r="O18" s="104"/>
      <c r="P18" s="104">
        <f t="shared" si="1"/>
        <v>8294080</v>
      </c>
    </row>
    <row r="19" spans="1:16" ht="30" x14ac:dyDescent="0.3">
      <c r="A19" s="528"/>
      <c r="B19" s="536"/>
      <c r="C19" s="69" t="s">
        <v>192</v>
      </c>
      <c r="D19" s="342"/>
      <c r="E19" s="347" t="s">
        <v>48</v>
      </c>
      <c r="F19" s="521" t="s">
        <v>48</v>
      </c>
      <c r="G19" s="522"/>
      <c r="H19" s="523"/>
      <c r="I19" s="347" t="s">
        <v>48</v>
      </c>
      <c r="J19" s="104">
        <f>556913.66+125691.96+1860000+197569.99</f>
        <v>2740175.6100000003</v>
      </c>
      <c r="K19" s="104">
        <f>'Прил 4'!K60</f>
        <v>1479370.68</v>
      </c>
      <c r="L19" s="104">
        <f>Прил2!M59</f>
        <v>1291232.52</v>
      </c>
      <c r="M19" s="96">
        <f>'Прил 4'!M60</f>
        <v>3514028.64</v>
      </c>
      <c r="N19" s="104">
        <f>'Прил 4'!N60</f>
        <v>0</v>
      </c>
      <c r="O19" s="104"/>
      <c r="P19" s="104">
        <f t="shared" si="1"/>
        <v>9024807.4500000011</v>
      </c>
    </row>
    <row r="20" spans="1:16" ht="44.25" customHeight="1" x14ac:dyDescent="0.3">
      <c r="A20" s="528"/>
      <c r="B20" s="536"/>
      <c r="C20" s="69" t="s">
        <v>193</v>
      </c>
      <c r="D20" s="192" t="s">
        <v>74</v>
      </c>
      <c r="E20" s="347" t="s">
        <v>48</v>
      </c>
      <c r="F20" s="521" t="s">
        <v>48</v>
      </c>
      <c r="G20" s="522"/>
      <c r="H20" s="523"/>
      <c r="I20" s="347" t="s">
        <v>48</v>
      </c>
      <c r="J20" s="104">
        <f>'Прил 4'!J61</f>
        <v>32817094.860000007</v>
      </c>
      <c r="K20" s="104">
        <f>'Прил 4'!K61</f>
        <v>32657094.770000003</v>
      </c>
      <c r="L20" s="104">
        <f>Прил2!M60</f>
        <v>33781617.75</v>
      </c>
      <c r="M20" s="96">
        <f>'Прил 4'!M61</f>
        <v>36549096.079999998</v>
      </c>
      <c r="N20" s="104">
        <f>'Прил 4'!N61</f>
        <v>33718876.650000006</v>
      </c>
      <c r="O20" s="104">
        <f>'Прил 4'!O61</f>
        <v>33718876.650000006</v>
      </c>
      <c r="P20" s="104">
        <f>SUM(J20:O20)</f>
        <v>203242656.76000002</v>
      </c>
    </row>
    <row r="21" spans="1:16" hidden="1" x14ac:dyDescent="0.3">
      <c r="A21" s="529"/>
      <c r="B21" s="537"/>
      <c r="C21" s="348"/>
      <c r="D21" s="192"/>
      <c r="E21" s="347"/>
      <c r="F21" s="344"/>
      <c r="G21" s="345"/>
      <c r="H21" s="346"/>
      <c r="I21" s="347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524" t="s">
        <v>53</v>
      </c>
      <c r="B22" s="525" t="s">
        <v>196</v>
      </c>
      <c r="C22" s="190" t="s">
        <v>50</v>
      </c>
      <c r="D22" s="192"/>
      <c r="E22" s="189" t="s">
        <v>48</v>
      </c>
      <c r="F22" s="521" t="s">
        <v>48</v>
      </c>
      <c r="G22" s="522"/>
      <c r="H22" s="523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29893916.189999998</v>
      </c>
      <c r="N22" s="191">
        <f>N25+N24</f>
        <v>12456691.630000001</v>
      </c>
      <c r="O22" s="191">
        <f>O25+O24</f>
        <v>12456691.630000001</v>
      </c>
      <c r="P22" s="104">
        <f>SUM(J22:O22)</f>
        <v>97521031.789999992</v>
      </c>
    </row>
    <row r="23" spans="1:16" s="55" customFormat="1" ht="45" x14ac:dyDescent="0.3">
      <c r="A23" s="524"/>
      <c r="B23" s="525"/>
      <c r="C23" s="69" t="s">
        <v>287</v>
      </c>
      <c r="D23" s="192"/>
      <c r="E23" s="189"/>
      <c r="F23" s="193"/>
      <c r="G23" s="194"/>
      <c r="H23" s="195"/>
      <c r="I23" s="189"/>
      <c r="J23" s="191"/>
      <c r="K23" s="191"/>
      <c r="L23" s="191">
        <f>Прил2!M113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524"/>
      <c r="B24" s="525"/>
      <c r="C24" s="69" t="s">
        <v>192</v>
      </c>
      <c r="D24" s="103"/>
      <c r="E24" s="189" t="s">
        <v>48</v>
      </c>
      <c r="F24" s="521" t="s">
        <v>48</v>
      </c>
      <c r="G24" s="522"/>
      <c r="H24" s="523"/>
      <c r="I24" s="189" t="s">
        <v>48</v>
      </c>
      <c r="J24" s="191">
        <f>155500+269769.2+65974.35+400000+76955.72</f>
        <v>968199.27</v>
      </c>
      <c r="K24" s="196">
        <f>ПП3!K77</f>
        <v>1262658.05</v>
      </c>
      <c r="L24" s="196">
        <f>Прил2!M114</f>
        <v>877730.3</v>
      </c>
      <c r="M24" s="313">
        <f>ПП3!M77</f>
        <v>12933410.549999999</v>
      </c>
      <c r="N24" s="197">
        <v>0</v>
      </c>
      <c r="O24" s="197"/>
      <c r="P24" s="104">
        <f t="shared" si="1"/>
        <v>16041998.169999998</v>
      </c>
    </row>
    <row r="25" spans="1:16" ht="45" x14ac:dyDescent="0.3">
      <c r="A25" s="524"/>
      <c r="B25" s="525"/>
      <c r="C25" s="69" t="s">
        <v>193</v>
      </c>
      <c r="D25" s="192" t="s">
        <v>74</v>
      </c>
      <c r="E25" s="189" t="s">
        <v>48</v>
      </c>
      <c r="F25" s="521" t="s">
        <v>48</v>
      </c>
      <c r="G25" s="522"/>
      <c r="H25" s="523"/>
      <c r="I25" s="189" t="s">
        <v>48</v>
      </c>
      <c r="J25" s="191">
        <f>ПП3!J78</f>
        <v>12675951.43</v>
      </c>
      <c r="K25" s="191">
        <f>ПП3!K78</f>
        <v>14091954.009999998</v>
      </c>
      <c r="L25" s="191">
        <f>ПП3!L78</f>
        <v>12801879.279999996</v>
      </c>
      <c r="M25" s="96">
        <f>ПП3!M78</f>
        <v>16960505.640000001</v>
      </c>
      <c r="N25" s="191">
        <f>ПП3!N78</f>
        <v>12456691.630000001</v>
      </c>
      <c r="O25" s="191">
        <f>ПП3!O78</f>
        <v>12456691.630000001</v>
      </c>
      <c r="P25" s="104">
        <f>SUM(J25:O25)</f>
        <v>81443673.61999999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526"/>
      <c r="B27" s="526"/>
      <c r="C27" s="526"/>
      <c r="D27" s="526"/>
      <c r="L27" s="520"/>
      <c r="M27" s="520"/>
      <c r="N27" s="520"/>
      <c r="O27" s="520"/>
      <c r="P27" s="520"/>
    </row>
    <row r="28" spans="1:16" s="9" customFormat="1" hidden="1" x14ac:dyDescent="0.25">
      <c r="A28" s="539" t="s">
        <v>2</v>
      </c>
      <c r="B28" s="539"/>
      <c r="C28" s="539"/>
      <c r="D28" s="539"/>
      <c r="E28" s="540"/>
      <c r="F28" s="540"/>
      <c r="G28" s="540"/>
      <c r="H28" s="540"/>
      <c r="I28" s="540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5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view="pageBreakPreview" zoomScale="64" zoomScaleNormal="85" zoomScaleSheetLayoutView="64" workbookViewId="0">
      <selection activeCell="P1" sqref="P1:Q1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3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19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560" t="s">
        <v>351</v>
      </c>
      <c r="Q1" s="560"/>
    </row>
    <row r="2" spans="1:18" ht="90.75" customHeight="1" x14ac:dyDescent="0.25">
      <c r="A2" s="319"/>
      <c r="B2" s="132"/>
      <c r="C2" s="132"/>
      <c r="D2" s="132"/>
      <c r="E2" s="562"/>
      <c r="F2" s="563"/>
      <c r="G2" s="563"/>
      <c r="H2" s="132"/>
      <c r="I2" s="132"/>
      <c r="J2" s="132"/>
      <c r="K2" s="132"/>
      <c r="L2" s="320"/>
      <c r="M2" s="320"/>
      <c r="N2" s="320"/>
      <c r="O2" s="320"/>
      <c r="P2" s="560" t="s">
        <v>171</v>
      </c>
      <c r="Q2" s="560"/>
      <c r="R2" s="1"/>
    </row>
    <row r="3" spans="1:18" ht="51" customHeight="1" x14ac:dyDescent="0.25">
      <c r="A3" s="561" t="s">
        <v>226</v>
      </c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321"/>
    </row>
    <row r="4" spans="1:18" x14ac:dyDescent="0.25">
      <c r="A4" s="319"/>
      <c r="B4" s="132"/>
      <c r="C4" s="132"/>
      <c r="D4" s="132"/>
      <c r="E4" s="322"/>
      <c r="F4" s="323" t="s">
        <v>29</v>
      </c>
      <c r="G4" s="322">
        <v>1</v>
      </c>
      <c r="H4" s="322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554" t="s">
        <v>3</v>
      </c>
      <c r="B5" s="454" t="s">
        <v>282</v>
      </c>
      <c r="C5" s="555" t="s">
        <v>229</v>
      </c>
      <c r="D5" s="555" t="s">
        <v>4</v>
      </c>
      <c r="E5" s="555"/>
      <c r="F5" s="555"/>
      <c r="G5" s="555"/>
      <c r="H5" s="555"/>
      <c r="I5" s="555"/>
      <c r="J5" s="545" t="s">
        <v>225</v>
      </c>
      <c r="K5" s="546"/>
      <c r="L5" s="546"/>
      <c r="M5" s="546"/>
      <c r="N5" s="546"/>
      <c r="O5" s="546"/>
      <c r="P5" s="547"/>
      <c r="Q5" s="555" t="s">
        <v>5</v>
      </c>
    </row>
    <row r="6" spans="1:18" ht="83.25" customHeight="1" x14ac:dyDescent="0.25">
      <c r="A6" s="554"/>
      <c r="B6" s="456"/>
      <c r="C6" s="555"/>
      <c r="D6" s="68" t="s">
        <v>6</v>
      </c>
      <c r="E6" s="68" t="s">
        <v>7</v>
      </c>
      <c r="F6" s="545" t="s">
        <v>8</v>
      </c>
      <c r="G6" s="546"/>
      <c r="H6" s="547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242</v>
      </c>
      <c r="O6" s="68" t="s">
        <v>290</v>
      </c>
      <c r="P6" s="68" t="s">
        <v>289</v>
      </c>
      <c r="Q6" s="555"/>
    </row>
    <row r="7" spans="1:18" ht="23.25" customHeight="1" x14ac:dyDescent="0.25">
      <c r="A7" s="103"/>
      <c r="B7" s="551" t="s">
        <v>220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8" ht="33.75" customHeight="1" x14ac:dyDescent="0.25">
      <c r="A8" s="199" t="s">
        <v>13</v>
      </c>
      <c r="B8" s="548" t="s">
        <v>68</v>
      </c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50"/>
      <c r="Q8" s="200"/>
    </row>
    <row r="9" spans="1:18" ht="22.5" customHeight="1" x14ac:dyDescent="0.25">
      <c r="A9" s="564" t="s">
        <v>30</v>
      </c>
      <c r="B9" s="570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244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f>4953804.01-148890</f>
        <v>4804914.01</v>
      </c>
      <c r="N9" s="104">
        <f>M9+148890</f>
        <v>4953804.01</v>
      </c>
      <c r="O9" s="104">
        <f>N9</f>
        <v>4953804.01</v>
      </c>
      <c r="P9" s="104">
        <f>SUM(J9:O9)</f>
        <v>29179273.789999992</v>
      </c>
      <c r="Q9" s="567" t="s">
        <v>82</v>
      </c>
      <c r="R9" s="9" t="s">
        <v>188</v>
      </c>
    </row>
    <row r="10" spans="1:18" s="44" customFormat="1" ht="25.5" customHeight="1" x14ac:dyDescent="0.25">
      <c r="A10" s="565"/>
      <c r="B10" s="571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244</v>
      </c>
      <c r="I10" s="180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f>1496048.81-44964.78</f>
        <v>1451084.03</v>
      </c>
      <c r="N10" s="104">
        <f>M10+44964.78</f>
        <v>1496048.81</v>
      </c>
      <c r="O10" s="104">
        <f t="shared" ref="O10" si="0">N10</f>
        <v>1496048.81</v>
      </c>
      <c r="P10" s="104">
        <f>SUM(J10:O10)</f>
        <v>8812128.9900000002</v>
      </c>
      <c r="Q10" s="568"/>
    </row>
    <row r="11" spans="1:18" s="24" customFormat="1" ht="23.25" customHeight="1" x14ac:dyDescent="0.25">
      <c r="A11" s="565"/>
      <c r="B11" s="571"/>
      <c r="C11" s="202" t="s">
        <v>56</v>
      </c>
      <c r="D11" s="100" t="s">
        <v>74</v>
      </c>
      <c r="E11" s="100" t="s">
        <v>27</v>
      </c>
      <c r="F11" s="203" t="s">
        <v>77</v>
      </c>
      <c r="G11" s="204">
        <v>1</v>
      </c>
      <c r="H11" s="86" t="s">
        <v>244</v>
      </c>
      <c r="I11" s="100" t="s">
        <v>128</v>
      </c>
      <c r="J11" s="104"/>
      <c r="K11" s="104">
        <v>1560</v>
      </c>
      <c r="L11" s="81">
        <v>2236.1999999999998</v>
      </c>
      <c r="M11" s="96">
        <f>1560-195</f>
        <v>1365</v>
      </c>
      <c r="N11" s="104">
        <f>M11+195</f>
        <v>1560</v>
      </c>
      <c r="O11" s="104">
        <f t="shared" ref="O11" si="1">N11</f>
        <v>1560</v>
      </c>
      <c r="P11" s="104">
        <f>J11+K11+L11+M11+N11+O11</f>
        <v>8281.2000000000007</v>
      </c>
      <c r="Q11" s="568"/>
    </row>
    <row r="12" spans="1:18" ht="21" customHeight="1" x14ac:dyDescent="0.25">
      <c r="A12" s="565"/>
      <c r="B12" s="571"/>
      <c r="C12" s="202" t="s">
        <v>56</v>
      </c>
      <c r="D12" s="100" t="s">
        <v>74</v>
      </c>
      <c r="E12" s="100" t="s">
        <v>27</v>
      </c>
      <c r="F12" s="203" t="s">
        <v>77</v>
      </c>
      <c r="G12" s="204">
        <v>1</v>
      </c>
      <c r="H12" s="86" t="s">
        <v>244</v>
      </c>
      <c r="I12" s="100" t="s">
        <v>28</v>
      </c>
      <c r="J12" s="104">
        <f>1019485-3.2+1687.2</f>
        <v>1021169</v>
      </c>
      <c r="K12" s="104">
        <f>1027352.04-3300-6800</f>
        <v>1017252.04</v>
      </c>
      <c r="L12" s="81">
        <v>1157926.8</v>
      </c>
      <c r="M12" s="96">
        <f>1012423-41</f>
        <v>1012382</v>
      </c>
      <c r="N12" s="104">
        <f>1012423</f>
        <v>1012423</v>
      </c>
      <c r="O12" s="104">
        <f>N12</f>
        <v>1012423</v>
      </c>
      <c r="P12" s="104">
        <f>J12+K12+L12+M12+N12+O12</f>
        <v>6233575.8399999999</v>
      </c>
      <c r="Q12" s="568"/>
    </row>
    <row r="13" spans="1:18" s="56" customFormat="1" ht="20.25" customHeight="1" x14ac:dyDescent="0.25">
      <c r="A13" s="565"/>
      <c r="B13" s="571"/>
      <c r="C13" s="202" t="s">
        <v>56</v>
      </c>
      <c r="D13" s="99" t="s">
        <v>74</v>
      </c>
      <c r="E13" s="100" t="s">
        <v>27</v>
      </c>
      <c r="F13" s="402" t="s">
        <v>77</v>
      </c>
      <c r="G13" s="403">
        <v>1</v>
      </c>
      <c r="H13" s="404" t="s">
        <v>244</v>
      </c>
      <c r="I13" s="100" t="s">
        <v>127</v>
      </c>
      <c r="J13" s="205">
        <v>150</v>
      </c>
      <c r="K13" s="205">
        <v>160</v>
      </c>
      <c r="L13" s="88">
        <v>160</v>
      </c>
      <c r="M13" s="324"/>
      <c r="N13" s="104"/>
      <c r="O13" s="104"/>
      <c r="P13" s="104">
        <f>J13+K13+L13+M13+N13+O13</f>
        <v>470</v>
      </c>
      <c r="Q13" s="568"/>
    </row>
    <row r="14" spans="1:18" ht="20.25" customHeight="1" x14ac:dyDescent="0.25">
      <c r="A14" s="565"/>
      <c r="B14" s="571"/>
      <c r="C14" s="202" t="s">
        <v>56</v>
      </c>
      <c r="D14" s="99" t="s">
        <v>74</v>
      </c>
      <c r="E14" s="100" t="s">
        <v>27</v>
      </c>
      <c r="F14" s="402" t="s">
        <v>77</v>
      </c>
      <c r="G14" s="403">
        <v>1</v>
      </c>
      <c r="H14" s="404" t="s">
        <v>244</v>
      </c>
      <c r="I14" s="389">
        <v>853</v>
      </c>
      <c r="J14" s="401"/>
      <c r="K14" s="401"/>
      <c r="L14" s="401"/>
      <c r="M14" s="408">
        <v>160</v>
      </c>
      <c r="N14" s="408">
        <f>M14</f>
        <v>160</v>
      </c>
      <c r="O14" s="408">
        <f>N14</f>
        <v>160</v>
      </c>
      <c r="P14" s="104">
        <f>J14+K14+L14+M14+N14+O14</f>
        <v>480</v>
      </c>
      <c r="Q14" s="568"/>
    </row>
    <row r="15" spans="1:18" ht="127.5" customHeight="1" x14ac:dyDescent="0.25">
      <c r="A15" s="565"/>
      <c r="B15" s="556" t="s">
        <v>138</v>
      </c>
      <c r="C15" s="202" t="s">
        <v>56</v>
      </c>
      <c r="D15" s="99" t="s">
        <v>74</v>
      </c>
      <c r="E15" s="100" t="s">
        <v>27</v>
      </c>
      <c r="F15" s="405" t="s">
        <v>77</v>
      </c>
      <c r="G15" s="406">
        <v>1</v>
      </c>
      <c r="H15" s="407" t="s">
        <v>252</v>
      </c>
      <c r="I15" s="206" t="s">
        <v>79</v>
      </c>
      <c r="J15" s="205">
        <v>129363.95</v>
      </c>
      <c r="K15" s="207">
        <f>87047.1+46225.91</f>
        <v>133273.01</v>
      </c>
      <c r="L15" s="88">
        <v>28042.02</v>
      </c>
      <c r="M15" s="324">
        <f>22404.8</f>
        <v>22404.799999999999</v>
      </c>
      <c r="N15" s="205"/>
      <c r="O15" s="205"/>
      <c r="P15" s="104">
        <f t="shared" ref="P15:P16" si="2">J15+K15+L15+M15+N15</f>
        <v>313083.78000000003</v>
      </c>
      <c r="Q15" s="568"/>
    </row>
    <row r="16" spans="1:18" s="44" customFormat="1" ht="127.5" customHeight="1" x14ac:dyDescent="0.25">
      <c r="A16" s="565"/>
      <c r="B16" s="557"/>
      <c r="C16" s="202" t="s">
        <v>56</v>
      </c>
      <c r="D16" s="99" t="s">
        <v>74</v>
      </c>
      <c r="E16" s="100" t="s">
        <v>27</v>
      </c>
      <c r="F16" s="203" t="s">
        <v>77</v>
      </c>
      <c r="G16" s="204">
        <v>1</v>
      </c>
      <c r="H16" s="86" t="s">
        <v>252</v>
      </c>
      <c r="I16" s="206" t="s">
        <v>278</v>
      </c>
      <c r="J16" s="205">
        <v>39067.919999999998</v>
      </c>
      <c r="K16" s="207">
        <f>26288.22+13960.23</f>
        <v>40248.449999999997</v>
      </c>
      <c r="L16" s="88">
        <v>8468.69</v>
      </c>
      <c r="M16" s="324">
        <f>6766.25</f>
        <v>6766.25</v>
      </c>
      <c r="N16" s="205"/>
      <c r="O16" s="205"/>
      <c r="P16" s="104">
        <f t="shared" si="2"/>
        <v>94551.31</v>
      </c>
      <c r="Q16" s="568"/>
    </row>
    <row r="17" spans="1:18" ht="142.5" customHeight="1" x14ac:dyDescent="0.25">
      <c r="A17" s="566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69"/>
    </row>
    <row r="18" spans="1:18" s="45" customFormat="1" ht="142.5" customHeight="1" x14ac:dyDescent="0.25">
      <c r="A18" s="208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253</v>
      </c>
      <c r="I18" s="103" t="s">
        <v>278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 x14ac:dyDescent="0.25">
      <c r="A19" s="208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79</v>
      </c>
      <c r="J19" s="104"/>
      <c r="K19" s="104"/>
      <c r="L19" s="96">
        <v>22877.15</v>
      </c>
      <c r="M19" s="96">
        <f>21898.06</f>
        <v>21898.06</v>
      </c>
      <c r="N19" s="104"/>
      <c r="O19" s="104"/>
      <c r="P19" s="104">
        <f t="shared" ref="P19:P22" si="3">J19+K19+L19+M19+N19</f>
        <v>44775.210000000006</v>
      </c>
      <c r="Q19" s="105"/>
    </row>
    <row r="20" spans="1:18" s="51" customFormat="1" ht="142.5" customHeight="1" x14ac:dyDescent="0.25">
      <c r="A20" s="359"/>
      <c r="B20" s="349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259</v>
      </c>
      <c r="I20" s="103" t="s">
        <v>278</v>
      </c>
      <c r="J20" s="104"/>
      <c r="K20" s="104"/>
      <c r="L20" s="96">
        <v>6908.9</v>
      </c>
      <c r="M20" s="96">
        <f>6613.22</f>
        <v>6613.22</v>
      </c>
      <c r="N20" s="104"/>
      <c r="O20" s="104"/>
      <c r="P20" s="104">
        <f t="shared" si="3"/>
        <v>13522.119999999999</v>
      </c>
      <c r="Q20" s="105"/>
    </row>
    <row r="21" spans="1:18" s="56" customFormat="1" ht="179.25" customHeight="1" x14ac:dyDescent="0.25">
      <c r="A21" s="359"/>
      <c r="B21" s="289" t="s">
        <v>343</v>
      </c>
      <c r="C21" s="98" t="s">
        <v>56</v>
      </c>
      <c r="D21" s="99" t="s">
        <v>74</v>
      </c>
      <c r="E21" s="100" t="s">
        <v>27</v>
      </c>
      <c r="F21" s="101" t="s">
        <v>77</v>
      </c>
      <c r="G21" s="102">
        <v>1</v>
      </c>
      <c r="H21" s="100" t="s">
        <v>340</v>
      </c>
      <c r="I21" s="443" t="s">
        <v>79</v>
      </c>
      <c r="J21" s="104"/>
      <c r="K21" s="104"/>
      <c r="L21" s="96"/>
      <c r="M21" s="96">
        <f>362250.63+96608.4</f>
        <v>458859.03</v>
      </c>
      <c r="N21" s="104"/>
      <c r="O21" s="104"/>
      <c r="P21" s="104">
        <f t="shared" si="3"/>
        <v>458859.03</v>
      </c>
      <c r="Q21" s="446"/>
    </row>
    <row r="22" spans="1:18" s="56" customFormat="1" ht="176.25" customHeight="1" x14ac:dyDescent="0.25">
      <c r="A22" s="359"/>
      <c r="B22" s="289" t="s">
        <v>343</v>
      </c>
      <c r="C22" s="98" t="s">
        <v>56</v>
      </c>
      <c r="D22" s="99" t="s">
        <v>74</v>
      </c>
      <c r="E22" s="100" t="s">
        <v>27</v>
      </c>
      <c r="F22" s="101" t="s">
        <v>77</v>
      </c>
      <c r="G22" s="102">
        <v>1</v>
      </c>
      <c r="H22" s="100" t="s">
        <v>340</v>
      </c>
      <c r="I22" s="443" t="s">
        <v>278</v>
      </c>
      <c r="J22" s="104"/>
      <c r="K22" s="104"/>
      <c r="L22" s="96"/>
      <c r="M22" s="96">
        <f>109399.69+29175.74</f>
        <v>138575.43</v>
      </c>
      <c r="N22" s="104"/>
      <c r="O22" s="104"/>
      <c r="P22" s="104">
        <f t="shared" si="3"/>
        <v>138575.43</v>
      </c>
      <c r="Q22" s="446"/>
    </row>
    <row r="23" spans="1:18" ht="83.25" customHeight="1" x14ac:dyDescent="0.25">
      <c r="A23" s="209" t="s">
        <v>54</v>
      </c>
      <c r="B23" s="210" t="s">
        <v>120</v>
      </c>
      <c r="C23" s="98" t="s">
        <v>56</v>
      </c>
      <c r="D23" s="103" t="s">
        <v>74</v>
      </c>
      <c r="E23" s="103" t="s">
        <v>27</v>
      </c>
      <c r="F23" s="162" t="s">
        <v>77</v>
      </c>
      <c r="G23" s="163">
        <v>1</v>
      </c>
      <c r="H23" s="180" t="s">
        <v>245</v>
      </c>
      <c r="I23" s="103" t="s">
        <v>28</v>
      </c>
      <c r="J23" s="104">
        <f>5560+230+1160</f>
        <v>6950</v>
      </c>
      <c r="K23" s="104">
        <f>6120+236+6800</f>
        <v>13156</v>
      </c>
      <c r="L23" s="96">
        <f>13700</f>
        <v>13700</v>
      </c>
      <c r="M23" s="303"/>
      <c r="N23" s="136">
        <v>13700</v>
      </c>
      <c r="O23" s="136">
        <v>13700</v>
      </c>
      <c r="P23" s="104">
        <f>J23+K23+L23+M23+N23+O23</f>
        <v>61206</v>
      </c>
      <c r="Q23" s="211" t="s">
        <v>83</v>
      </c>
    </row>
    <row r="24" spans="1:18" ht="79.5" customHeight="1" x14ac:dyDescent="0.25">
      <c r="A24" s="212" t="s">
        <v>57</v>
      </c>
      <c r="B24" s="213" t="s">
        <v>121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243</v>
      </c>
      <c r="I24" s="93" t="s">
        <v>28</v>
      </c>
      <c r="J24" s="104">
        <v>370000</v>
      </c>
      <c r="K24" s="104">
        <v>370000</v>
      </c>
      <c r="L24" s="96">
        <v>370000</v>
      </c>
      <c r="M24" s="303">
        <v>370000</v>
      </c>
      <c r="N24" s="136">
        <f>M24</f>
        <v>370000</v>
      </c>
      <c r="O24" s="136">
        <v>370000</v>
      </c>
      <c r="P24" s="104">
        <f>J24+K24+L24+M24+N24+O24</f>
        <v>2220000</v>
      </c>
      <c r="Q24" s="211"/>
    </row>
    <row r="25" spans="1:18" ht="278.25" customHeight="1" x14ac:dyDescent="0.25">
      <c r="A25" s="212" t="s">
        <v>103</v>
      </c>
      <c r="B25" s="213" t="s">
        <v>303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254</v>
      </c>
      <c r="I25" s="93" t="s">
        <v>28</v>
      </c>
      <c r="J25" s="104">
        <f>27800-6800</f>
        <v>21000</v>
      </c>
      <c r="K25" s="104">
        <f>30600-7700+27200</f>
        <v>50100</v>
      </c>
      <c r="L25" s="81">
        <v>41100</v>
      </c>
      <c r="M25" s="96"/>
      <c r="N25" s="104"/>
      <c r="O25" s="104"/>
      <c r="P25" s="104">
        <f t="shared" ref="P25:P36" si="4">J25+K25+L25+M25+N25</f>
        <v>112200</v>
      </c>
      <c r="Q25" s="211"/>
      <c r="R25" s="33" t="s">
        <v>214</v>
      </c>
    </row>
    <row r="26" spans="1:18" s="56" customFormat="1" ht="170.25" customHeight="1" x14ac:dyDescent="0.25">
      <c r="A26" s="212" t="s">
        <v>160</v>
      </c>
      <c r="B26" s="213" t="s">
        <v>304</v>
      </c>
      <c r="C26" s="98" t="s">
        <v>56</v>
      </c>
      <c r="D26" s="92" t="s">
        <v>74</v>
      </c>
      <c r="E26" s="93" t="s">
        <v>27</v>
      </c>
      <c r="F26" s="203" t="s">
        <v>77</v>
      </c>
      <c r="G26" s="204">
        <v>1</v>
      </c>
      <c r="H26" s="86" t="s">
        <v>305</v>
      </c>
      <c r="I26" s="93" t="s">
        <v>28</v>
      </c>
      <c r="J26" s="104"/>
      <c r="K26" s="104"/>
      <c r="L26" s="81"/>
      <c r="M26" s="96">
        <f>41300</f>
        <v>41300</v>
      </c>
      <c r="N26" s="104"/>
      <c r="O26" s="104"/>
      <c r="P26" s="104">
        <f t="shared" si="4"/>
        <v>41300</v>
      </c>
      <c r="Q26" s="211"/>
    </row>
    <row r="27" spans="1:18" ht="111" customHeight="1" x14ac:dyDescent="0.25">
      <c r="A27" s="212" t="s">
        <v>173</v>
      </c>
      <c r="B27" s="213" t="s">
        <v>167</v>
      </c>
      <c r="C27" s="98" t="s">
        <v>56</v>
      </c>
      <c r="D27" s="92" t="s">
        <v>74</v>
      </c>
      <c r="E27" s="93" t="s">
        <v>27</v>
      </c>
      <c r="F27" s="203" t="s">
        <v>77</v>
      </c>
      <c r="G27" s="204">
        <v>1</v>
      </c>
      <c r="H27" s="86" t="s">
        <v>246</v>
      </c>
      <c r="I27" s="93" t="s">
        <v>28</v>
      </c>
      <c r="J27" s="104">
        <v>0</v>
      </c>
      <c r="K27" s="104">
        <f>3300-300</f>
        <v>3000</v>
      </c>
      <c r="L27" s="81">
        <f>2500-300</f>
        <v>2200</v>
      </c>
      <c r="M27" s="96"/>
      <c r="N27" s="104">
        <v>0</v>
      </c>
      <c r="O27" s="104"/>
      <c r="P27" s="104">
        <f t="shared" si="4"/>
        <v>5200</v>
      </c>
      <c r="Q27" s="211"/>
      <c r="R27" s="42" t="s">
        <v>276</v>
      </c>
    </row>
    <row r="28" spans="1:18" s="56" customFormat="1" ht="151.5" customHeight="1" x14ac:dyDescent="0.25">
      <c r="A28" s="212" t="s">
        <v>197</v>
      </c>
      <c r="B28" s="213" t="s">
        <v>304</v>
      </c>
      <c r="C28" s="98" t="s">
        <v>56</v>
      </c>
      <c r="D28" s="92" t="s">
        <v>74</v>
      </c>
      <c r="E28" s="93" t="s">
        <v>27</v>
      </c>
      <c r="F28" s="203" t="s">
        <v>77</v>
      </c>
      <c r="G28" s="204">
        <v>1</v>
      </c>
      <c r="H28" s="86" t="s">
        <v>305</v>
      </c>
      <c r="I28" s="93" t="s">
        <v>28</v>
      </c>
      <c r="J28" s="104"/>
      <c r="K28" s="104"/>
      <c r="L28" s="81"/>
      <c r="M28" s="96">
        <f>2100</f>
        <v>2100</v>
      </c>
      <c r="N28" s="104"/>
      <c r="O28" s="104"/>
      <c r="P28" s="104">
        <f t="shared" si="4"/>
        <v>2100</v>
      </c>
      <c r="Q28" s="211"/>
      <c r="R28" s="42"/>
    </row>
    <row r="29" spans="1:18" s="23" customFormat="1" ht="131.25" customHeight="1" x14ac:dyDescent="0.25">
      <c r="A29" s="212" t="s">
        <v>231</v>
      </c>
      <c r="B29" s="213" t="s">
        <v>172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114" t="s">
        <v>255</v>
      </c>
      <c r="I29" s="93" t="s">
        <v>79</v>
      </c>
      <c r="J29" s="104">
        <v>4112.6400000000003</v>
      </c>
      <c r="K29" s="104"/>
      <c r="L29" s="81"/>
      <c r="M29" s="96"/>
      <c r="N29" s="104"/>
      <c r="O29" s="104"/>
      <c r="P29" s="104">
        <f t="shared" si="4"/>
        <v>4112.6400000000003</v>
      </c>
      <c r="Q29" s="211"/>
    </row>
    <row r="30" spans="1:18" s="45" customFormat="1" ht="131.25" customHeight="1" x14ac:dyDescent="0.25">
      <c r="A30" s="383" t="s">
        <v>279</v>
      </c>
      <c r="B30" s="213" t="s">
        <v>172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255</v>
      </c>
      <c r="I30" s="214" t="s">
        <v>278</v>
      </c>
      <c r="J30" s="104">
        <v>1242.02</v>
      </c>
      <c r="K30" s="104"/>
      <c r="L30" s="81"/>
      <c r="M30" s="96"/>
      <c r="N30" s="104"/>
      <c r="O30" s="104"/>
      <c r="P30" s="104">
        <f t="shared" ref="P30" si="5">J30+K30+L30+M30+N30</f>
        <v>1242.02</v>
      </c>
      <c r="Q30" s="211"/>
    </row>
    <row r="31" spans="1:18" s="32" customFormat="1" ht="128.25" customHeight="1" x14ac:dyDescent="0.25">
      <c r="A31" s="359" t="s">
        <v>297</v>
      </c>
      <c r="B31" s="360" t="s">
        <v>199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215" t="s">
        <v>256</v>
      </c>
      <c r="I31" s="93" t="s">
        <v>28</v>
      </c>
      <c r="J31" s="104"/>
      <c r="K31" s="104">
        <v>3300</v>
      </c>
      <c r="L31" s="81">
        <v>250</v>
      </c>
      <c r="M31" s="96"/>
      <c r="N31" s="104">
        <v>260</v>
      </c>
      <c r="O31" s="104">
        <v>260</v>
      </c>
      <c r="P31" s="104">
        <f>J31+K31+L31+M31+N31+O31</f>
        <v>4070</v>
      </c>
      <c r="Q31" s="211"/>
    </row>
    <row r="32" spans="1:18" s="36" customFormat="1" ht="91.5" customHeight="1" x14ac:dyDescent="0.25">
      <c r="A32" s="383" t="s">
        <v>298</v>
      </c>
      <c r="B32" s="117" t="s">
        <v>232</v>
      </c>
      <c r="C32" s="98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257</v>
      </c>
      <c r="I32" s="93" t="s">
        <v>28</v>
      </c>
      <c r="J32" s="104"/>
      <c r="K32" s="104">
        <v>116125</v>
      </c>
      <c r="L32" s="81"/>
      <c r="M32" s="96"/>
      <c r="N32" s="104"/>
      <c r="O32" s="104"/>
      <c r="P32" s="104">
        <f t="shared" si="4"/>
        <v>116125</v>
      </c>
      <c r="Q32" s="211"/>
    </row>
    <row r="33" spans="1:18" s="39" customFormat="1" ht="144" customHeight="1" x14ac:dyDescent="0.25">
      <c r="A33" s="383" t="s">
        <v>306</v>
      </c>
      <c r="B33" s="117" t="s">
        <v>241</v>
      </c>
      <c r="C33" s="98" t="s">
        <v>56</v>
      </c>
      <c r="D33" s="92" t="s">
        <v>74</v>
      </c>
      <c r="E33" s="93" t="s">
        <v>27</v>
      </c>
      <c r="F33" s="94" t="s">
        <v>77</v>
      </c>
      <c r="G33" s="95">
        <v>1</v>
      </c>
      <c r="H33" s="114" t="s">
        <v>258</v>
      </c>
      <c r="I33" s="93" t="s">
        <v>28</v>
      </c>
      <c r="J33" s="104"/>
      <c r="K33" s="104">
        <v>200000</v>
      </c>
      <c r="L33" s="81"/>
      <c r="M33" s="96"/>
      <c r="N33" s="104"/>
      <c r="O33" s="104"/>
      <c r="P33" s="104">
        <f t="shared" si="4"/>
        <v>200000</v>
      </c>
      <c r="Q33" s="211"/>
    </row>
    <row r="34" spans="1:18" s="56" customFormat="1" ht="145.5" customHeight="1" x14ac:dyDescent="0.25">
      <c r="A34" s="474" t="s">
        <v>309</v>
      </c>
      <c r="B34" s="558" t="s">
        <v>308</v>
      </c>
      <c r="C34" s="472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310</v>
      </c>
      <c r="I34" s="93" t="s">
        <v>79</v>
      </c>
      <c r="J34" s="104"/>
      <c r="K34" s="104"/>
      <c r="L34" s="81"/>
      <c r="M34" s="96">
        <f>268817.2</f>
        <v>268817.2</v>
      </c>
      <c r="N34" s="104"/>
      <c r="O34" s="104"/>
      <c r="P34" s="104">
        <f t="shared" si="4"/>
        <v>268817.2</v>
      </c>
      <c r="Q34" s="211"/>
    </row>
    <row r="35" spans="1:18" s="56" customFormat="1" ht="67.5" customHeight="1" x14ac:dyDescent="0.25">
      <c r="A35" s="475"/>
      <c r="B35" s="559"/>
      <c r="C35" s="473"/>
      <c r="D35" s="92" t="s">
        <v>74</v>
      </c>
      <c r="E35" s="93" t="s">
        <v>27</v>
      </c>
      <c r="F35" s="94" t="s">
        <v>77</v>
      </c>
      <c r="G35" s="95">
        <v>1</v>
      </c>
      <c r="H35" s="114" t="s">
        <v>310</v>
      </c>
      <c r="I35" s="93" t="s">
        <v>278</v>
      </c>
      <c r="J35" s="104"/>
      <c r="K35" s="104"/>
      <c r="L35" s="81"/>
      <c r="M35" s="96">
        <v>81182.8</v>
      </c>
      <c r="N35" s="104"/>
      <c r="O35" s="104"/>
      <c r="P35" s="104">
        <f t="shared" si="4"/>
        <v>81182.8</v>
      </c>
      <c r="Q35" s="211"/>
    </row>
    <row r="36" spans="1:18" s="56" customFormat="1" ht="113.25" customHeight="1" x14ac:dyDescent="0.25">
      <c r="A36" s="399" t="s">
        <v>313</v>
      </c>
      <c r="B36" s="400" t="s">
        <v>120</v>
      </c>
      <c r="C36" s="398" t="s">
        <v>56</v>
      </c>
      <c r="D36" s="92" t="s">
        <v>74</v>
      </c>
      <c r="E36" s="93" t="s">
        <v>27</v>
      </c>
      <c r="F36" s="94" t="s">
        <v>77</v>
      </c>
      <c r="G36" s="95">
        <v>1</v>
      </c>
      <c r="H36" s="114" t="s">
        <v>314</v>
      </c>
      <c r="I36" s="93" t="s">
        <v>28</v>
      </c>
      <c r="J36" s="104"/>
      <c r="K36" s="104"/>
      <c r="L36" s="81"/>
      <c r="M36" s="96">
        <f>14001</f>
        <v>14001</v>
      </c>
      <c r="N36" s="104"/>
      <c r="O36" s="104"/>
      <c r="P36" s="104">
        <f t="shared" si="4"/>
        <v>14001</v>
      </c>
      <c r="Q36" s="211"/>
    </row>
    <row r="37" spans="1:18" ht="31.5" customHeight="1" x14ac:dyDescent="0.25">
      <c r="A37" s="216"/>
      <c r="B37" s="217" t="s">
        <v>15</v>
      </c>
      <c r="C37" s="218"/>
      <c r="D37" s="217"/>
      <c r="E37" s="217"/>
      <c r="F37" s="219"/>
      <c r="G37" s="220"/>
      <c r="H37" s="221"/>
      <c r="I37" s="217"/>
      <c r="J37" s="222">
        <f>SUM(J9:J30)</f>
        <v>7761783.0264199991</v>
      </c>
      <c r="K37" s="222">
        <f>SUM(K9:K33)</f>
        <v>8209693.25</v>
      </c>
      <c r="L37" s="222">
        <f>SUM(L9:L33)</f>
        <v>8063105.1600000011</v>
      </c>
      <c r="M37" s="327">
        <f>SUM(M9:M36)</f>
        <v>8702422.8300000001</v>
      </c>
      <c r="N37" s="222">
        <f>SUM(N9:N33)</f>
        <v>7847955.8200000003</v>
      </c>
      <c r="O37" s="222">
        <f>SUM(O9:O33)</f>
        <v>7847955.8200000003</v>
      </c>
      <c r="P37" s="222">
        <f>J37+K37+L37+M37+N37+O37</f>
        <v>48432915.90642</v>
      </c>
      <c r="Q37" s="218"/>
      <c r="R37" s="8"/>
    </row>
    <row r="38" spans="1:18" ht="32.25" customHeight="1" x14ac:dyDescent="0.25">
      <c r="A38" s="199" t="s">
        <v>16</v>
      </c>
      <c r="B38" s="548" t="s">
        <v>71</v>
      </c>
      <c r="C38" s="549"/>
      <c r="D38" s="549"/>
      <c r="E38" s="549"/>
      <c r="F38" s="549"/>
      <c r="G38" s="549"/>
      <c r="H38" s="549"/>
      <c r="I38" s="549"/>
      <c r="J38" s="549"/>
      <c r="K38" s="549"/>
      <c r="L38" s="549"/>
      <c r="M38" s="549"/>
      <c r="N38" s="549"/>
      <c r="O38" s="549"/>
      <c r="P38" s="550"/>
      <c r="Q38" s="223"/>
    </row>
    <row r="39" spans="1:18" ht="171" customHeight="1" x14ac:dyDescent="0.25">
      <c r="A39" s="209" t="s">
        <v>17</v>
      </c>
      <c r="B39" s="349" t="s">
        <v>122</v>
      </c>
      <c r="C39" s="98" t="s">
        <v>56</v>
      </c>
      <c r="D39" s="342" t="s">
        <v>74</v>
      </c>
      <c r="E39" s="342" t="s">
        <v>27</v>
      </c>
      <c r="F39" s="162" t="s">
        <v>77</v>
      </c>
      <c r="G39" s="340">
        <v>1</v>
      </c>
      <c r="H39" s="79" t="s">
        <v>244</v>
      </c>
      <c r="I39" s="342" t="s">
        <v>78</v>
      </c>
      <c r="J39" s="104">
        <f>2089586.88+21000-109173.01+61290+46791.28</f>
        <v>2109495.15</v>
      </c>
      <c r="K39" s="104">
        <f>2190463.8-317.56-22486.6-165.41</f>
        <v>2167494.2299999995</v>
      </c>
      <c r="L39" s="81">
        <v>2282088.83</v>
      </c>
      <c r="M39" s="96">
        <f>2638085.84-96927.39</f>
        <v>2541158.4499999997</v>
      </c>
      <c r="N39" s="104">
        <f>M39+96927.39</f>
        <v>2638085.84</v>
      </c>
      <c r="O39" s="104">
        <v>2638085.84</v>
      </c>
      <c r="P39" s="104">
        <f>J39+K39+L39+M39+N39+O39</f>
        <v>14376408.339999998</v>
      </c>
      <c r="Q39" s="349" t="s">
        <v>81</v>
      </c>
    </row>
    <row r="40" spans="1:18" ht="134.25" customHeight="1" x14ac:dyDescent="0.25">
      <c r="A40" s="361"/>
      <c r="B40" s="362" t="s">
        <v>138</v>
      </c>
      <c r="C40" s="363" t="s">
        <v>56</v>
      </c>
      <c r="D40" s="364" t="s">
        <v>74</v>
      </c>
      <c r="E40" s="364" t="s">
        <v>27</v>
      </c>
      <c r="F40" s="365" t="s">
        <v>77</v>
      </c>
      <c r="G40" s="366">
        <v>1</v>
      </c>
      <c r="H40" s="364" t="s">
        <v>252</v>
      </c>
      <c r="I40" s="364" t="s">
        <v>78</v>
      </c>
      <c r="J40" s="367">
        <f>108081.28-46791.28+9459.03</f>
        <v>70749.03</v>
      </c>
      <c r="K40" s="368">
        <f>31710.43+31755.55+42891.99</f>
        <v>106357.97</v>
      </c>
      <c r="L40" s="81">
        <v>14532.72</v>
      </c>
      <c r="M40" s="369">
        <f>10635.13</f>
        <v>10635.13</v>
      </c>
      <c r="N40" s="367"/>
      <c r="O40" s="367"/>
      <c r="P40" s="367">
        <f t="shared" ref="P40:P45" si="6">J40+K40+L40+M40+N40</f>
        <v>202274.85</v>
      </c>
      <c r="Q40" s="351"/>
    </row>
    <row r="41" spans="1:18" ht="163.5" customHeight="1" x14ac:dyDescent="0.25">
      <c r="A41" s="212"/>
      <c r="B41" s="349" t="s">
        <v>139</v>
      </c>
      <c r="C41" s="202" t="s">
        <v>56</v>
      </c>
      <c r="D41" s="100" t="s">
        <v>74</v>
      </c>
      <c r="E41" s="100" t="s">
        <v>27</v>
      </c>
      <c r="F41" s="101" t="s">
        <v>77</v>
      </c>
      <c r="G41" s="102">
        <v>1</v>
      </c>
      <c r="H41" s="100" t="s">
        <v>253</v>
      </c>
      <c r="I41" s="100" t="s">
        <v>78</v>
      </c>
      <c r="J41" s="104">
        <v>1091.73</v>
      </c>
      <c r="K41" s="104">
        <f>591.35+317.56+165.41</f>
        <v>1074.3200000000002</v>
      </c>
      <c r="L41" s="81">
        <v>156.94</v>
      </c>
      <c r="M41" s="96"/>
      <c r="N41" s="104"/>
      <c r="O41" s="104"/>
      <c r="P41" s="104">
        <f t="shared" si="6"/>
        <v>2322.9900000000002</v>
      </c>
      <c r="Q41" s="362"/>
    </row>
    <row r="42" spans="1:18" ht="81.75" customHeight="1" x14ac:dyDescent="0.25">
      <c r="A42" s="103" t="s">
        <v>72</v>
      </c>
      <c r="B42" s="125" t="s">
        <v>129</v>
      </c>
      <c r="C42" s="98" t="s">
        <v>56</v>
      </c>
      <c r="D42" s="103" t="s">
        <v>74</v>
      </c>
      <c r="E42" s="103" t="s">
        <v>27</v>
      </c>
      <c r="F42" s="162" t="s">
        <v>77</v>
      </c>
      <c r="G42" s="163">
        <v>1</v>
      </c>
      <c r="H42" s="79" t="s">
        <v>247</v>
      </c>
      <c r="I42" s="103" t="s">
        <v>80</v>
      </c>
      <c r="J42" s="104">
        <v>12000</v>
      </c>
      <c r="K42" s="104">
        <v>0</v>
      </c>
      <c r="L42" s="81">
        <v>0</v>
      </c>
      <c r="M42" s="96"/>
      <c r="N42" s="104"/>
      <c r="O42" s="104"/>
      <c r="P42" s="104">
        <f t="shared" si="6"/>
        <v>12000</v>
      </c>
      <c r="Q42" s="125" t="s">
        <v>130</v>
      </c>
    </row>
    <row r="43" spans="1:18" ht="162" customHeight="1" x14ac:dyDescent="0.25">
      <c r="A43" s="103" t="s">
        <v>73</v>
      </c>
      <c r="B43" s="125" t="s">
        <v>172</v>
      </c>
      <c r="C43" s="98" t="s">
        <v>56</v>
      </c>
      <c r="D43" s="103" t="s">
        <v>74</v>
      </c>
      <c r="E43" s="103" t="s">
        <v>27</v>
      </c>
      <c r="F43" s="162" t="s">
        <v>77</v>
      </c>
      <c r="G43" s="163">
        <v>1</v>
      </c>
      <c r="H43" s="79" t="s">
        <v>255</v>
      </c>
      <c r="I43" s="103" t="s">
        <v>78</v>
      </c>
      <c r="J43" s="87">
        <v>2593.52</v>
      </c>
      <c r="K43" s="87"/>
      <c r="L43" s="81"/>
      <c r="M43" s="81"/>
      <c r="N43" s="87"/>
      <c r="O43" s="87"/>
      <c r="P43" s="104">
        <f t="shared" si="6"/>
        <v>2593.52</v>
      </c>
      <c r="Q43" s="125"/>
    </row>
    <row r="44" spans="1:18" s="56" customFormat="1" ht="169.5" customHeight="1" x14ac:dyDescent="0.25">
      <c r="A44" s="386" t="s">
        <v>311</v>
      </c>
      <c r="B44" s="387" t="s">
        <v>308</v>
      </c>
      <c r="C44" s="98" t="s">
        <v>56</v>
      </c>
      <c r="D44" s="386" t="s">
        <v>74</v>
      </c>
      <c r="E44" s="386" t="s">
        <v>27</v>
      </c>
      <c r="F44" s="162" t="s">
        <v>77</v>
      </c>
      <c r="G44" s="385">
        <v>1</v>
      </c>
      <c r="H44" s="79" t="s">
        <v>310</v>
      </c>
      <c r="I44" s="386" t="s">
        <v>78</v>
      </c>
      <c r="J44" s="87"/>
      <c r="K44" s="87"/>
      <c r="L44" s="81"/>
      <c r="M44" s="81">
        <f>122000</f>
        <v>122000</v>
      </c>
      <c r="N44" s="87"/>
      <c r="O44" s="87"/>
      <c r="P44" s="104">
        <f t="shared" si="6"/>
        <v>122000</v>
      </c>
      <c r="Q44" s="387"/>
    </row>
    <row r="45" spans="1:18" s="56" customFormat="1" ht="183" customHeight="1" x14ac:dyDescent="0.25">
      <c r="A45" s="443" t="s">
        <v>341</v>
      </c>
      <c r="B45" s="289" t="s">
        <v>343</v>
      </c>
      <c r="C45" s="98" t="s">
        <v>56</v>
      </c>
      <c r="D45" s="443" t="s">
        <v>74</v>
      </c>
      <c r="E45" s="443" t="s">
        <v>27</v>
      </c>
      <c r="F45" s="162" t="s">
        <v>77</v>
      </c>
      <c r="G45" s="442">
        <v>1</v>
      </c>
      <c r="H45" s="79" t="s">
        <v>340</v>
      </c>
      <c r="I45" s="443" t="s">
        <v>78</v>
      </c>
      <c r="J45" s="87"/>
      <c r="K45" s="87"/>
      <c r="L45" s="81"/>
      <c r="M45" s="81">
        <f>110051.74</f>
        <v>110051.74</v>
      </c>
      <c r="N45" s="87"/>
      <c r="O45" s="87"/>
      <c r="P45" s="104">
        <f t="shared" si="6"/>
        <v>110051.74</v>
      </c>
      <c r="Q45" s="445"/>
    </row>
    <row r="46" spans="1:18" ht="32.25" customHeight="1" x14ac:dyDescent="0.25">
      <c r="A46" s="216"/>
      <c r="B46" s="217" t="s">
        <v>18</v>
      </c>
      <c r="C46" s="218"/>
      <c r="D46" s="217"/>
      <c r="E46" s="217"/>
      <c r="F46" s="219"/>
      <c r="G46" s="220"/>
      <c r="H46" s="221"/>
      <c r="I46" s="217"/>
      <c r="J46" s="222">
        <f t="shared" ref="J46:O46" si="7">SUM(J39:J43)</f>
        <v>2195929.4299999997</v>
      </c>
      <c r="K46" s="222">
        <f t="shared" si="7"/>
        <v>2274926.5199999996</v>
      </c>
      <c r="L46" s="222">
        <f t="shared" si="7"/>
        <v>2296778.4900000002</v>
      </c>
      <c r="M46" s="222">
        <f>SUM(M39:M45)</f>
        <v>2783845.32</v>
      </c>
      <c r="N46" s="222">
        <f t="shared" si="7"/>
        <v>2638085.84</v>
      </c>
      <c r="O46" s="222">
        <f t="shared" si="7"/>
        <v>2638085.84</v>
      </c>
      <c r="P46" s="222">
        <f>SUM(P39:P45)</f>
        <v>14827651.439999998</v>
      </c>
      <c r="Q46" s="218"/>
      <c r="R46" s="8"/>
    </row>
    <row r="47" spans="1:18" ht="36" customHeight="1" x14ac:dyDescent="0.25">
      <c r="A47" s="224"/>
      <c r="B47" s="225" t="s">
        <v>97</v>
      </c>
      <c r="C47" s="225"/>
      <c r="D47" s="225"/>
      <c r="E47" s="225"/>
      <c r="F47" s="226"/>
      <c r="G47" s="227"/>
      <c r="H47" s="228"/>
      <c r="I47" s="225"/>
      <c r="J47" s="229">
        <f t="shared" ref="J47:O47" si="8">J37+J46</f>
        <v>9957712.4564199988</v>
      </c>
      <c r="K47" s="229">
        <f t="shared" si="8"/>
        <v>10484619.77</v>
      </c>
      <c r="L47" s="229">
        <f t="shared" si="8"/>
        <v>10359883.650000002</v>
      </c>
      <c r="M47" s="229">
        <f t="shared" si="8"/>
        <v>11486268.15</v>
      </c>
      <c r="N47" s="229">
        <f t="shared" si="8"/>
        <v>10486041.66</v>
      </c>
      <c r="O47" s="229">
        <f t="shared" si="8"/>
        <v>10486041.66</v>
      </c>
      <c r="P47" s="229">
        <f>J47+K47+L47+M47+N47+O47</f>
        <v>63260567.346420005</v>
      </c>
      <c r="Q47" s="225"/>
      <c r="R47" s="8"/>
    </row>
    <row r="48" spans="1:18" x14ac:dyDescent="0.25">
      <c r="A48" s="103"/>
      <c r="B48" s="125" t="s">
        <v>25</v>
      </c>
      <c r="C48" s="125"/>
      <c r="D48" s="125"/>
      <c r="E48" s="125"/>
      <c r="F48" s="162"/>
      <c r="G48" s="163"/>
      <c r="H48" s="230"/>
      <c r="I48" s="125"/>
      <c r="J48" s="104"/>
      <c r="K48" s="104"/>
      <c r="L48" s="104"/>
      <c r="M48" s="96"/>
      <c r="N48" s="104"/>
      <c r="O48" s="104"/>
      <c r="P48" s="229">
        <f t="shared" ref="P48:P49" si="9">J48+K48+L48+M48+N48</f>
        <v>0</v>
      </c>
      <c r="Q48" s="125"/>
    </row>
    <row r="49" spans="1:18" ht="20.25" customHeight="1" x14ac:dyDescent="0.25">
      <c r="A49" s="103"/>
      <c r="B49" s="125" t="s">
        <v>168</v>
      </c>
      <c r="C49" s="125"/>
      <c r="D49" s="125"/>
      <c r="E49" s="125"/>
      <c r="F49" s="162"/>
      <c r="G49" s="163"/>
      <c r="H49" s="230"/>
      <c r="I49" s="125"/>
      <c r="J49" s="104"/>
      <c r="K49" s="104">
        <v>3000</v>
      </c>
      <c r="L49" s="104">
        <f>L27</f>
        <v>2200</v>
      </c>
      <c r="M49" s="96">
        <f>M28</f>
        <v>2100</v>
      </c>
      <c r="N49" s="104">
        <f t="shared" ref="N49" si="10">N27</f>
        <v>0</v>
      </c>
      <c r="O49" s="104"/>
      <c r="P49" s="229">
        <f t="shared" si="9"/>
        <v>7300</v>
      </c>
      <c r="Q49" s="125"/>
    </row>
    <row r="50" spans="1:18" ht="20.25" customHeight="1" x14ac:dyDescent="0.25">
      <c r="A50" s="103"/>
      <c r="B50" s="126" t="s">
        <v>169</v>
      </c>
      <c r="C50" s="125"/>
      <c r="D50" s="125"/>
      <c r="E50" s="125"/>
      <c r="F50" s="162"/>
      <c r="G50" s="163"/>
      <c r="H50" s="230"/>
      <c r="I50" s="125"/>
      <c r="J50" s="104">
        <v>314531.21000000002</v>
      </c>
      <c r="K50" s="104">
        <f>K40+K15+K25+K16</f>
        <v>329979.43</v>
      </c>
      <c r="L50" s="104">
        <f>L25+L15+L16+L40+L19+L20</f>
        <v>121929.48000000001</v>
      </c>
      <c r="M50" s="104">
        <f>M25+M15+M16+M40+M19+M20+M26+M34+M35+M44+M45+M21+M22</f>
        <v>1289103.6599999999</v>
      </c>
      <c r="N50" s="104">
        <f>N25+N15+N16+N40+N19+N20</f>
        <v>0</v>
      </c>
      <c r="O50" s="104">
        <f>O25+O15+O16+O40+O19+O20</f>
        <v>0</v>
      </c>
      <c r="P50" s="229">
        <f>J50+K50+L50+M50+N50</f>
        <v>2055543.7799999998</v>
      </c>
      <c r="Q50" s="125"/>
    </row>
    <row r="51" spans="1:18" ht="23.25" customHeight="1" x14ac:dyDescent="0.25">
      <c r="A51" s="103"/>
      <c r="B51" s="125" t="s">
        <v>170</v>
      </c>
      <c r="C51" s="125"/>
      <c r="D51" s="125"/>
      <c r="E51" s="125"/>
      <c r="F51" s="162"/>
      <c r="G51" s="163"/>
      <c r="H51" s="230"/>
      <c r="I51" s="125"/>
      <c r="J51" s="104">
        <f>J37+J46-J50</f>
        <v>9643181.2464199979</v>
      </c>
      <c r="K51" s="104">
        <f>K37+K46-K49-K50</f>
        <v>10151640.34</v>
      </c>
      <c r="L51" s="104">
        <f>L37+L46-L49-L50</f>
        <v>10235754.170000002</v>
      </c>
      <c r="M51" s="104">
        <f>M37+M46-M49-M50</f>
        <v>10195064.49</v>
      </c>
      <c r="N51" s="104">
        <f>N37+N46-N49-N50</f>
        <v>10486041.66</v>
      </c>
      <c r="O51" s="104">
        <f>O37+O46-O49-O50</f>
        <v>10486041.66</v>
      </c>
      <c r="P51" s="104">
        <f>SUM(J51:O51)</f>
        <v>61197723.566420004</v>
      </c>
      <c r="Q51" s="125"/>
      <c r="R51" s="8"/>
    </row>
    <row r="52" spans="1:18" ht="46.5" customHeight="1" x14ac:dyDescent="0.25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90"/>
      <c r="N52" s="2"/>
      <c r="O52" s="2"/>
      <c r="P52" s="2"/>
      <c r="Q52" s="2"/>
      <c r="R52" s="22"/>
    </row>
    <row r="53" spans="1:18" x14ac:dyDescent="0.25">
      <c r="A53" s="13"/>
      <c r="B53" s="2"/>
      <c r="C53" s="2"/>
      <c r="D53" s="2"/>
      <c r="E53" s="2"/>
      <c r="F53" s="13"/>
      <c r="G53" s="14"/>
      <c r="H53" s="14"/>
      <c r="I53" s="2"/>
      <c r="J53" s="3"/>
      <c r="K53" s="3"/>
      <c r="L53" s="3"/>
      <c r="M53" s="294"/>
      <c r="N53" s="3"/>
      <c r="O53" s="3"/>
      <c r="P53" s="3"/>
      <c r="Q53" s="2"/>
      <c r="R53" s="8"/>
    </row>
    <row r="54" spans="1:18" s="11" customFormat="1" ht="35.25" customHeight="1" x14ac:dyDescent="0.25">
      <c r="A54" s="544"/>
      <c r="B54" s="544"/>
      <c r="C54" s="544"/>
      <c r="D54" s="544"/>
      <c r="E54" s="544"/>
      <c r="F54" s="544"/>
      <c r="G54" s="544"/>
      <c r="H54" s="544"/>
      <c r="I54" s="544"/>
      <c r="J54" s="10"/>
      <c r="K54" s="10"/>
      <c r="L54" s="10"/>
      <c r="M54" s="291"/>
      <c r="N54" s="10"/>
      <c r="O54" s="10"/>
      <c r="P54" s="10"/>
    </row>
    <row r="57" spans="1:18" x14ac:dyDescent="0.25">
      <c r="J57" s="8"/>
      <c r="K57" s="8"/>
      <c r="L57" s="8"/>
      <c r="M57" s="292"/>
      <c r="N57" s="8"/>
      <c r="O57" s="8"/>
      <c r="P57" s="8"/>
    </row>
    <row r="58" spans="1:18" x14ac:dyDescent="0.25">
      <c r="J58" s="8"/>
      <c r="K58" s="8"/>
      <c r="L58" s="8"/>
      <c r="M58" s="292"/>
      <c r="N58" s="8"/>
      <c r="O58" s="8"/>
      <c r="P58" s="8"/>
      <c r="R58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4:I54"/>
    <mergeCell ref="F6:H6"/>
    <mergeCell ref="B38:P38"/>
    <mergeCell ref="B7:P7"/>
    <mergeCell ref="B8:P8"/>
    <mergeCell ref="A5:A6"/>
    <mergeCell ref="B5:B6"/>
    <mergeCell ref="C5:C6"/>
    <mergeCell ref="D5:I5"/>
    <mergeCell ref="J5:P5"/>
    <mergeCell ref="B15:B16"/>
    <mergeCell ref="B34:B35"/>
    <mergeCell ref="C34:C35"/>
    <mergeCell ref="A34:A3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2" max="14" man="1"/>
    <brk id="39" max="14" man="1"/>
    <brk id="5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69"/>
  <sheetViews>
    <sheetView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3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72" t="s">
        <v>352</v>
      </c>
      <c r="N1" s="572"/>
      <c r="O1" s="572"/>
      <c r="P1" s="572"/>
      <c r="Q1" s="572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80" t="s">
        <v>295</v>
      </c>
      <c r="N2" s="580"/>
      <c r="O2" s="580"/>
      <c r="P2" s="581"/>
      <c r="Q2" s="581"/>
      <c r="R2" s="1"/>
    </row>
    <row r="3" spans="1:19" ht="39" customHeight="1" x14ac:dyDescent="0.25">
      <c r="A3" s="582" t="s">
        <v>227</v>
      </c>
      <c r="B3" s="582"/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5"/>
      <c r="K4" s="325"/>
      <c r="L4" s="325"/>
      <c r="M4" s="325"/>
      <c r="N4" s="325"/>
      <c r="O4" s="325"/>
      <c r="P4" s="325"/>
      <c r="Q4" s="59"/>
    </row>
    <row r="5" spans="1:19" ht="18" customHeight="1" x14ac:dyDescent="0.25">
      <c r="A5" s="471" t="s">
        <v>3</v>
      </c>
      <c r="B5" s="472" t="s">
        <v>282</v>
      </c>
      <c r="C5" s="470" t="s">
        <v>229</v>
      </c>
      <c r="D5" s="470" t="s">
        <v>4</v>
      </c>
      <c r="E5" s="470"/>
      <c r="F5" s="470"/>
      <c r="G5" s="470"/>
      <c r="H5" s="470"/>
      <c r="I5" s="470"/>
      <c r="J5" s="545" t="s">
        <v>224</v>
      </c>
      <c r="K5" s="546"/>
      <c r="L5" s="546"/>
      <c r="M5" s="546"/>
      <c r="N5" s="546"/>
      <c r="O5" s="546"/>
      <c r="P5" s="547"/>
      <c r="Q5" s="470" t="s">
        <v>5</v>
      </c>
    </row>
    <row r="6" spans="1:19" ht="83.25" customHeight="1" x14ac:dyDescent="0.25">
      <c r="A6" s="471"/>
      <c r="B6" s="473"/>
      <c r="C6" s="470"/>
      <c r="D6" s="64" t="s">
        <v>6</v>
      </c>
      <c r="E6" s="64" t="s">
        <v>7</v>
      </c>
      <c r="F6" s="466" t="s">
        <v>8</v>
      </c>
      <c r="G6" s="467"/>
      <c r="H6" s="468"/>
      <c r="I6" s="64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470"/>
    </row>
    <row r="7" spans="1:19" x14ac:dyDescent="0.25">
      <c r="A7" s="103"/>
      <c r="B7" s="551" t="s">
        <v>221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9" ht="29.25" customHeight="1" x14ac:dyDescent="0.25">
      <c r="A8" s="199" t="s">
        <v>13</v>
      </c>
      <c r="B8" s="548" t="s">
        <v>55</v>
      </c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50"/>
      <c r="Q8" s="200"/>
    </row>
    <row r="9" spans="1:19" ht="83.25" customHeight="1" x14ac:dyDescent="0.25">
      <c r="A9" s="474" t="s">
        <v>30</v>
      </c>
      <c r="B9" s="349" t="s">
        <v>112</v>
      </c>
      <c r="C9" s="349" t="s">
        <v>56</v>
      </c>
      <c r="D9" s="342" t="s">
        <v>74</v>
      </c>
      <c r="E9" s="342" t="s">
        <v>27</v>
      </c>
      <c r="F9" s="162" t="s">
        <v>77</v>
      </c>
      <c r="G9" s="340">
        <v>2</v>
      </c>
      <c r="H9" s="79" t="s">
        <v>244</v>
      </c>
      <c r="I9" s="342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f>27438036.94-2502.83-717262.69</f>
        <v>26718271.420000002</v>
      </c>
      <c r="N9" s="96">
        <f>M9+2502.83+717262.69</f>
        <v>27438036.940000001</v>
      </c>
      <c r="O9" s="96">
        <f>N9</f>
        <v>27438036.940000001</v>
      </c>
      <c r="P9" s="96">
        <f>SUM(J9:O9)</f>
        <v>159444401.43000001</v>
      </c>
      <c r="Q9" s="234" t="s">
        <v>176</v>
      </c>
      <c r="R9" s="28" t="s">
        <v>180</v>
      </c>
      <c r="S9" s="29" t="s">
        <v>183</v>
      </c>
    </row>
    <row r="10" spans="1:19" ht="133.5" customHeight="1" x14ac:dyDescent="0.25">
      <c r="A10" s="579"/>
      <c r="B10" s="349" t="s">
        <v>138</v>
      </c>
      <c r="C10" s="349" t="s">
        <v>56</v>
      </c>
      <c r="D10" s="342" t="s">
        <v>74</v>
      </c>
      <c r="E10" s="342" t="s">
        <v>27</v>
      </c>
      <c r="F10" s="162" t="s">
        <v>77</v>
      </c>
      <c r="G10" s="183" t="s">
        <v>16</v>
      </c>
      <c r="H10" s="79" t="s">
        <v>252</v>
      </c>
      <c r="I10" s="342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>
        <f>167644.95</f>
        <v>167644.95000000001</v>
      </c>
      <c r="N10" s="96"/>
      <c r="O10" s="96"/>
      <c r="P10" s="96">
        <f t="shared" ref="P10:P15" si="0">SUM(J10:N10)</f>
        <v>1808082.16</v>
      </c>
      <c r="Q10" s="574"/>
    </row>
    <row r="11" spans="1:19" ht="141.75" customHeight="1" x14ac:dyDescent="0.25">
      <c r="A11" s="579"/>
      <c r="B11" s="349" t="s">
        <v>139</v>
      </c>
      <c r="C11" s="349" t="s">
        <v>56</v>
      </c>
      <c r="D11" s="342" t="s">
        <v>74</v>
      </c>
      <c r="E11" s="79" t="s">
        <v>27</v>
      </c>
      <c r="F11" s="183" t="s">
        <v>77</v>
      </c>
      <c r="G11" s="183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>
        <f>2502.83</f>
        <v>2502.83</v>
      </c>
      <c r="N11" s="104"/>
      <c r="O11" s="104"/>
      <c r="P11" s="96">
        <f t="shared" si="0"/>
        <v>21569.619999999995</v>
      </c>
      <c r="Q11" s="574"/>
      <c r="R11" s="9" t="s">
        <v>0</v>
      </c>
    </row>
    <row r="12" spans="1:19" ht="69" customHeight="1" x14ac:dyDescent="0.25">
      <c r="A12" s="579"/>
      <c r="B12" s="349" t="s">
        <v>140</v>
      </c>
      <c r="C12" s="349" t="s">
        <v>56</v>
      </c>
      <c r="D12" s="342" t="s">
        <v>74</v>
      </c>
      <c r="E12" s="79" t="s">
        <v>27</v>
      </c>
      <c r="F12" s="183" t="s">
        <v>77</v>
      </c>
      <c r="G12" s="183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>
        <f>228070.41</f>
        <v>228070.41</v>
      </c>
      <c r="N12" s="104"/>
      <c r="O12" s="104"/>
      <c r="P12" s="96">
        <f t="shared" si="0"/>
        <v>1195373.6299999999</v>
      </c>
      <c r="Q12" s="574"/>
      <c r="R12" s="9" t="s">
        <v>189</v>
      </c>
    </row>
    <row r="13" spans="1:19" s="56" customFormat="1" ht="162.75" customHeight="1" x14ac:dyDescent="0.25">
      <c r="A13" s="579"/>
      <c r="B13" s="289" t="s">
        <v>343</v>
      </c>
      <c r="C13" s="445" t="s">
        <v>56</v>
      </c>
      <c r="D13" s="443" t="s">
        <v>74</v>
      </c>
      <c r="E13" s="79" t="s">
        <v>27</v>
      </c>
      <c r="F13" s="183" t="s">
        <v>77</v>
      </c>
      <c r="G13" s="183" t="s">
        <v>16</v>
      </c>
      <c r="H13" s="79" t="s">
        <v>340</v>
      </c>
      <c r="I13" s="79" t="s">
        <v>78</v>
      </c>
      <c r="J13" s="87"/>
      <c r="K13" s="104"/>
      <c r="L13" s="81"/>
      <c r="M13" s="96">
        <f>814391.98+443361.62</f>
        <v>1257753.6000000001</v>
      </c>
      <c r="N13" s="104"/>
      <c r="O13" s="104"/>
      <c r="P13" s="96">
        <f t="shared" si="0"/>
        <v>1257753.6000000001</v>
      </c>
      <c r="Q13" s="448"/>
    </row>
    <row r="14" spans="1:19" ht="78.75" customHeight="1" x14ac:dyDescent="0.25">
      <c r="A14" s="579"/>
      <c r="B14" s="349" t="s">
        <v>113</v>
      </c>
      <c r="C14" s="349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247</v>
      </c>
      <c r="I14" s="93" t="s">
        <v>80</v>
      </c>
      <c r="J14" s="87">
        <f>200000+300000+15000</f>
        <v>515000</v>
      </c>
      <c r="K14" s="104">
        <v>0</v>
      </c>
      <c r="L14" s="81">
        <v>0</v>
      </c>
      <c r="M14" s="96"/>
      <c r="N14" s="104"/>
      <c r="O14" s="104"/>
      <c r="P14" s="96">
        <f t="shared" si="0"/>
        <v>515000</v>
      </c>
      <c r="Q14" s="235"/>
      <c r="R14" s="9" t="s">
        <v>0</v>
      </c>
    </row>
    <row r="15" spans="1:19" ht="159" customHeight="1" x14ac:dyDescent="0.25">
      <c r="A15" s="475"/>
      <c r="B15" s="349" t="s">
        <v>123</v>
      </c>
      <c r="C15" s="349" t="s">
        <v>56</v>
      </c>
      <c r="D15" s="92" t="s">
        <v>74</v>
      </c>
      <c r="E15" s="93" t="s">
        <v>27</v>
      </c>
      <c r="F15" s="94" t="s">
        <v>77</v>
      </c>
      <c r="G15" s="94" t="s">
        <v>16</v>
      </c>
      <c r="H15" s="93" t="s">
        <v>260</v>
      </c>
      <c r="I15" s="93" t="s">
        <v>80</v>
      </c>
      <c r="J15" s="87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353"/>
    </row>
    <row r="16" spans="1:19" ht="88.5" customHeight="1" x14ac:dyDescent="0.25">
      <c r="A16" s="474" t="s">
        <v>14</v>
      </c>
      <c r="B16" s="125" t="s">
        <v>111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83" t="s">
        <v>16</v>
      </c>
      <c r="H16" s="79" t="s">
        <v>244</v>
      </c>
      <c r="I16" s="103" t="s">
        <v>78</v>
      </c>
      <c r="J16" s="81">
        <f>4533475.22-81949.75+58744+44160.6+36969.65+373.44</f>
        <v>4591773.16</v>
      </c>
      <c r="K16" s="96">
        <f>4741057.86-49476.6-3607.73-272.19-51942.99-30</f>
        <v>4635728.3499999996</v>
      </c>
      <c r="L16" s="81">
        <v>4787389.63</v>
      </c>
      <c r="M16" s="96">
        <f>4801089.71-116312.86</f>
        <v>4684776.8499999996</v>
      </c>
      <c r="N16" s="96">
        <f>M16+116312.86</f>
        <v>4801089.71</v>
      </c>
      <c r="O16" s="96">
        <f>N16</f>
        <v>4801089.71</v>
      </c>
      <c r="P16" s="96">
        <f>SUM(J16:O16)</f>
        <v>28301847.410000004</v>
      </c>
      <c r="Q16" s="576" t="s">
        <v>85</v>
      </c>
      <c r="R16" s="9" t="s">
        <v>187</v>
      </c>
    </row>
    <row r="17" spans="1:18" ht="138" customHeight="1" x14ac:dyDescent="0.25">
      <c r="A17" s="579"/>
      <c r="B17" s="125" t="s">
        <v>138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252</v>
      </c>
      <c r="I17" s="100" t="s">
        <v>78</v>
      </c>
      <c r="J17" s="81">
        <f>81130.25-36969.65</f>
        <v>44160.6</v>
      </c>
      <c r="K17" s="237">
        <f>27180.37+27219.04+13920.3</f>
        <v>68319.710000000006</v>
      </c>
      <c r="L17" s="81">
        <v>16169.92</v>
      </c>
      <c r="M17" s="96">
        <f>10950.42</f>
        <v>10950.42</v>
      </c>
      <c r="N17" s="96"/>
      <c r="O17" s="96"/>
      <c r="P17" s="104">
        <f>J17+K17+L17+M17+N17</f>
        <v>139600.65</v>
      </c>
      <c r="Q17" s="577"/>
    </row>
    <row r="18" spans="1:18" ht="164.25" customHeight="1" x14ac:dyDescent="0.25">
      <c r="A18" s="579"/>
      <c r="B18" s="125" t="s">
        <v>139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253</v>
      </c>
      <c r="I18" s="100" t="s">
        <v>78</v>
      </c>
      <c r="J18" s="87">
        <f>446.06</f>
        <v>446.06</v>
      </c>
      <c r="K18" s="104">
        <f>443.89+272.19+30</f>
        <v>746.07999999999993</v>
      </c>
      <c r="L18" s="81">
        <v>175.92</v>
      </c>
      <c r="M18" s="96"/>
      <c r="N18" s="104"/>
      <c r="O18" s="104"/>
      <c r="P18" s="104">
        <f t="shared" ref="P18:P20" si="1">J18+K18+L18+M18</f>
        <v>1368.06</v>
      </c>
      <c r="Q18" s="578"/>
    </row>
    <row r="19" spans="1:18" s="51" customFormat="1" ht="73.5" customHeight="1" x14ac:dyDescent="0.25">
      <c r="A19" s="579"/>
      <c r="B19" s="125" t="s">
        <v>140</v>
      </c>
      <c r="C19" s="126" t="s">
        <v>56</v>
      </c>
      <c r="D19" s="100" t="s">
        <v>74</v>
      </c>
      <c r="E19" s="100" t="s">
        <v>27</v>
      </c>
      <c r="F19" s="101" t="s">
        <v>77</v>
      </c>
      <c r="G19" s="101" t="s">
        <v>16</v>
      </c>
      <c r="H19" s="100" t="s">
        <v>259</v>
      </c>
      <c r="I19" s="100" t="s">
        <v>78</v>
      </c>
      <c r="J19" s="87"/>
      <c r="K19" s="104"/>
      <c r="L19" s="96">
        <v>36824.68</v>
      </c>
      <c r="M19" s="96">
        <f>34329.06</f>
        <v>34329.06</v>
      </c>
      <c r="N19" s="104"/>
      <c r="O19" s="104"/>
      <c r="P19" s="104">
        <f t="shared" si="1"/>
        <v>71153.739999999991</v>
      </c>
      <c r="Q19" s="127"/>
    </row>
    <row r="20" spans="1:18" s="56" customFormat="1" ht="164.25" customHeight="1" x14ac:dyDescent="0.25">
      <c r="A20" s="579"/>
      <c r="B20" s="289" t="s">
        <v>343</v>
      </c>
      <c r="C20" s="126" t="s">
        <v>56</v>
      </c>
      <c r="D20" s="100" t="s">
        <v>74</v>
      </c>
      <c r="E20" s="100" t="s">
        <v>27</v>
      </c>
      <c r="F20" s="101" t="s">
        <v>77</v>
      </c>
      <c r="G20" s="101" t="s">
        <v>16</v>
      </c>
      <c r="H20" s="100" t="s">
        <v>340</v>
      </c>
      <c r="I20" s="100" t="s">
        <v>78</v>
      </c>
      <c r="J20" s="87"/>
      <c r="K20" s="104"/>
      <c r="L20" s="96"/>
      <c r="M20" s="96">
        <f>220105.96+31454.24</f>
        <v>251560.19999999998</v>
      </c>
      <c r="N20" s="104"/>
      <c r="O20" s="104"/>
      <c r="P20" s="104">
        <f t="shared" si="1"/>
        <v>251560.19999999998</v>
      </c>
      <c r="Q20" s="449"/>
    </row>
    <row r="21" spans="1:18" ht="87.75" customHeight="1" x14ac:dyDescent="0.25">
      <c r="A21" s="475"/>
      <c r="B21" s="126" t="s">
        <v>113</v>
      </c>
      <c r="C21" s="126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247</v>
      </c>
      <c r="I21" s="239" t="s">
        <v>80</v>
      </c>
      <c r="J21" s="87">
        <v>7000</v>
      </c>
      <c r="K21" s="104">
        <v>0</v>
      </c>
      <c r="L21" s="81">
        <v>0</v>
      </c>
      <c r="M21" s="96"/>
      <c r="N21" s="104"/>
      <c r="O21" s="104"/>
      <c r="P21" s="104">
        <f t="shared" ref="P21:P23" si="2">SUM(J21:M21)</f>
        <v>7000</v>
      </c>
      <c r="Q21" s="127"/>
    </row>
    <row r="22" spans="1:18" ht="122.25" customHeight="1" x14ac:dyDescent="0.25">
      <c r="A22" s="103" t="s">
        <v>57</v>
      </c>
      <c r="B22" s="106" t="s">
        <v>58</v>
      </c>
      <c r="C22" s="125" t="s">
        <v>56</v>
      </c>
      <c r="D22" s="103"/>
      <c r="E22" s="103"/>
      <c r="F22" s="162"/>
      <c r="G22" s="183"/>
      <c r="H22" s="79"/>
      <c r="I22" s="103"/>
      <c r="J22" s="87"/>
      <c r="K22" s="104"/>
      <c r="L22" s="81"/>
      <c r="M22" s="96"/>
      <c r="N22" s="104"/>
      <c r="O22" s="104"/>
      <c r="P22" s="104">
        <f t="shared" si="2"/>
        <v>0</v>
      </c>
      <c r="Q22" s="241" t="s">
        <v>86</v>
      </c>
    </row>
    <row r="23" spans="1:18" ht="173.25" customHeight="1" x14ac:dyDescent="0.25">
      <c r="A23" s="103" t="s">
        <v>103</v>
      </c>
      <c r="B23" s="242" t="s">
        <v>153</v>
      </c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261</v>
      </c>
      <c r="I23" s="239" t="s">
        <v>80</v>
      </c>
      <c r="J23" s="87">
        <v>6181600</v>
      </c>
      <c r="K23" s="104">
        <v>0</v>
      </c>
      <c r="L23" s="81">
        <v>0</v>
      </c>
      <c r="M23" s="96"/>
      <c r="N23" s="104"/>
      <c r="O23" s="104"/>
      <c r="P23" s="104">
        <f t="shared" si="2"/>
        <v>6181600</v>
      </c>
      <c r="Q23" s="241" t="s">
        <v>154</v>
      </c>
      <c r="R23" s="9" t="s">
        <v>0</v>
      </c>
    </row>
    <row r="24" spans="1:18" s="23" customFormat="1" ht="44.25" customHeight="1" x14ac:dyDescent="0.25">
      <c r="A24" s="474" t="s">
        <v>160</v>
      </c>
      <c r="B24" s="590" t="s">
        <v>172</v>
      </c>
      <c r="C24" s="125" t="s">
        <v>56</v>
      </c>
      <c r="D24" s="238" t="s">
        <v>74</v>
      </c>
      <c r="E24" s="239" t="s">
        <v>27</v>
      </c>
      <c r="F24" s="240" t="s">
        <v>77</v>
      </c>
      <c r="G24" s="240" t="s">
        <v>16</v>
      </c>
      <c r="H24" s="238" t="s">
        <v>255</v>
      </c>
      <c r="I24" s="239" t="s">
        <v>78</v>
      </c>
      <c r="J24" s="87">
        <v>2920.72</v>
      </c>
      <c r="K24" s="104"/>
      <c r="L24" s="81"/>
      <c r="M24" s="96"/>
      <c r="N24" s="104"/>
      <c r="O24" s="104"/>
      <c r="P24" s="104">
        <f>J24+K24+L24+M24</f>
        <v>2920.72</v>
      </c>
      <c r="Q24" s="241"/>
    </row>
    <row r="25" spans="1:18" s="23" customFormat="1" ht="84.75" customHeight="1" x14ac:dyDescent="0.25">
      <c r="A25" s="475"/>
      <c r="B25" s="591"/>
      <c r="C25" s="125" t="s">
        <v>56</v>
      </c>
      <c r="D25" s="238" t="s">
        <v>74</v>
      </c>
      <c r="E25" s="239" t="s">
        <v>27</v>
      </c>
      <c r="F25" s="240" t="s">
        <v>77</v>
      </c>
      <c r="G25" s="240" t="s">
        <v>16</v>
      </c>
      <c r="H25" s="239" t="s">
        <v>255</v>
      </c>
      <c r="I25" s="239" t="s">
        <v>78</v>
      </c>
      <c r="J25" s="87">
        <v>42334.71</v>
      </c>
      <c r="K25" s="104"/>
      <c r="L25" s="81"/>
      <c r="M25" s="96"/>
      <c r="N25" s="104"/>
      <c r="O25" s="104"/>
      <c r="P25" s="104">
        <f>J25+K25+L25+M25</f>
        <v>42334.71</v>
      </c>
      <c r="Q25" s="241"/>
    </row>
    <row r="26" spans="1:18" ht="29.25" customHeight="1" x14ac:dyDescent="0.25">
      <c r="A26" s="243"/>
      <c r="B26" s="244" t="s">
        <v>15</v>
      </c>
      <c r="C26" s="245"/>
      <c r="D26" s="244"/>
      <c r="E26" s="244"/>
      <c r="F26" s="246"/>
      <c r="G26" s="247"/>
      <c r="H26" s="248"/>
      <c r="I26" s="244"/>
      <c r="J26" s="249">
        <f>SUM(J9:J25)</f>
        <v>36915910.470000006</v>
      </c>
      <c r="K26" s="249">
        <f>SUM(K9:K25)</f>
        <v>31875520.450000003</v>
      </c>
      <c r="L26" s="249">
        <f>SUM(L9:L23)</f>
        <v>32616021.970000003</v>
      </c>
      <c r="M26" s="249">
        <f>SUM(M9:M23)</f>
        <v>33355859.740000002</v>
      </c>
      <c r="N26" s="249">
        <f>SUM(N9:N23)</f>
        <v>32239126.650000002</v>
      </c>
      <c r="O26" s="249">
        <f>SUM(O9:O23)</f>
        <v>32239126.650000002</v>
      </c>
      <c r="P26" s="249">
        <f>J26+K26+L26+M26+N26+O26</f>
        <v>199241565.93000004</v>
      </c>
      <c r="Q26" s="245"/>
      <c r="R26" s="8"/>
    </row>
    <row r="27" spans="1:18" ht="27" customHeight="1" x14ac:dyDescent="0.25">
      <c r="A27" s="199" t="s">
        <v>16</v>
      </c>
      <c r="B27" s="548" t="s">
        <v>59</v>
      </c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50"/>
      <c r="Q27" s="250"/>
    </row>
    <row r="28" spans="1:18" ht="44.25" customHeight="1" x14ac:dyDescent="0.3">
      <c r="A28" s="474" t="s">
        <v>17</v>
      </c>
      <c r="B28" s="556" t="s">
        <v>124</v>
      </c>
      <c r="C28" s="106" t="s">
        <v>56</v>
      </c>
      <c r="D28" s="99" t="s">
        <v>74</v>
      </c>
      <c r="E28" s="100" t="s">
        <v>27</v>
      </c>
      <c r="F28" s="101" t="s">
        <v>77</v>
      </c>
      <c r="G28" s="101" t="s">
        <v>16</v>
      </c>
      <c r="H28" s="111" t="s">
        <v>262</v>
      </c>
      <c r="I28" s="103" t="s">
        <v>80</v>
      </c>
      <c r="J28" s="135">
        <f>12000</f>
        <v>12000</v>
      </c>
      <c r="K28" s="136">
        <v>0</v>
      </c>
      <c r="L28" s="133">
        <v>0</v>
      </c>
      <c r="M28" s="303"/>
      <c r="N28" s="136"/>
      <c r="O28" s="136"/>
      <c r="P28" s="136">
        <f t="shared" ref="P28:P35" si="3">SUM(J28:M28)</f>
        <v>12000</v>
      </c>
      <c r="Q28" s="573" t="s">
        <v>87</v>
      </c>
      <c r="R28" s="15" t="s">
        <v>0</v>
      </c>
    </row>
    <row r="29" spans="1:18" ht="44.25" customHeight="1" x14ac:dyDescent="0.3">
      <c r="A29" s="579"/>
      <c r="B29" s="592"/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262</v>
      </c>
      <c r="I29" s="103" t="s">
        <v>80</v>
      </c>
      <c r="J29" s="135">
        <f>3400</f>
        <v>3400</v>
      </c>
      <c r="K29" s="136">
        <v>0</v>
      </c>
      <c r="L29" s="133"/>
      <c r="M29" s="303"/>
      <c r="N29" s="136"/>
      <c r="O29" s="136"/>
      <c r="P29" s="136">
        <f t="shared" si="3"/>
        <v>3400</v>
      </c>
      <c r="Q29" s="574"/>
      <c r="R29" s="15" t="s">
        <v>148</v>
      </c>
    </row>
    <row r="30" spans="1:18" ht="37.5" customHeight="1" x14ac:dyDescent="0.3">
      <c r="A30" s="475"/>
      <c r="B30" s="557"/>
      <c r="C30" s="106" t="s">
        <v>56</v>
      </c>
      <c r="D30" s="99" t="s">
        <v>74</v>
      </c>
      <c r="E30" s="100" t="s">
        <v>75</v>
      </c>
      <c r="F30" s="101" t="s">
        <v>77</v>
      </c>
      <c r="G30" s="101" t="s">
        <v>16</v>
      </c>
      <c r="H30" s="111" t="s">
        <v>262</v>
      </c>
      <c r="I30" s="103" t="s">
        <v>80</v>
      </c>
      <c r="J30" s="135">
        <f>18200</f>
        <v>18200</v>
      </c>
      <c r="K30" s="136"/>
      <c r="L30" s="133"/>
      <c r="M30" s="303"/>
      <c r="N30" s="136"/>
      <c r="O30" s="136"/>
      <c r="P30" s="136">
        <f t="shared" si="3"/>
        <v>18200</v>
      </c>
      <c r="Q30" s="575"/>
      <c r="R30" s="16" t="s">
        <v>104</v>
      </c>
    </row>
    <row r="31" spans="1:18" ht="37.5" customHeight="1" x14ac:dyDescent="0.3">
      <c r="A31" s="474" t="s">
        <v>72</v>
      </c>
      <c r="B31" s="556" t="s">
        <v>151</v>
      </c>
      <c r="C31" s="106" t="s">
        <v>56</v>
      </c>
      <c r="D31" s="99" t="s">
        <v>74</v>
      </c>
      <c r="E31" s="100" t="s">
        <v>27</v>
      </c>
      <c r="F31" s="101" t="s">
        <v>77</v>
      </c>
      <c r="G31" s="101" t="s">
        <v>16</v>
      </c>
      <c r="H31" s="111" t="s">
        <v>263</v>
      </c>
      <c r="I31" s="103" t="s">
        <v>80</v>
      </c>
      <c r="J31" s="135">
        <f>1200000</f>
        <v>1200000</v>
      </c>
      <c r="K31" s="136">
        <v>200000</v>
      </c>
      <c r="L31" s="133">
        <v>350000</v>
      </c>
      <c r="M31" s="303"/>
      <c r="N31" s="136"/>
      <c r="O31" s="136"/>
      <c r="P31" s="136">
        <f t="shared" si="3"/>
        <v>1750000</v>
      </c>
      <c r="Q31" s="573" t="s">
        <v>87</v>
      </c>
      <c r="R31" s="16" t="s">
        <v>211</v>
      </c>
    </row>
    <row r="32" spans="1:18" ht="37.5" customHeight="1" x14ac:dyDescent="0.3">
      <c r="A32" s="579"/>
      <c r="B32" s="592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80</v>
      </c>
      <c r="J32" s="135">
        <f>340000</f>
        <v>340000</v>
      </c>
      <c r="K32" s="136">
        <v>0</v>
      </c>
      <c r="L32" s="133"/>
      <c r="M32" s="303"/>
      <c r="N32" s="136"/>
      <c r="O32" s="136"/>
      <c r="P32" s="136">
        <f t="shared" si="3"/>
        <v>340000</v>
      </c>
      <c r="Q32" s="574"/>
      <c r="R32" s="16"/>
    </row>
    <row r="33" spans="1:20" ht="54.75" customHeight="1" x14ac:dyDescent="0.3">
      <c r="A33" s="579"/>
      <c r="B33" s="592"/>
      <c r="C33" s="106" t="s">
        <v>56</v>
      </c>
      <c r="D33" s="99" t="s">
        <v>74</v>
      </c>
      <c r="E33" s="100" t="s">
        <v>75</v>
      </c>
      <c r="F33" s="101" t="s">
        <v>77</v>
      </c>
      <c r="G33" s="101" t="s">
        <v>16</v>
      </c>
      <c r="H33" s="111" t="s">
        <v>263</v>
      </c>
      <c r="I33" s="103" t="s">
        <v>80</v>
      </c>
      <c r="J33" s="135">
        <f>320000</f>
        <v>320000</v>
      </c>
      <c r="K33" s="136"/>
      <c r="L33" s="133">
        <v>200000</v>
      </c>
      <c r="M33" s="303"/>
      <c r="N33" s="136"/>
      <c r="O33" s="136"/>
      <c r="P33" s="136">
        <f t="shared" si="3"/>
        <v>520000</v>
      </c>
      <c r="Q33" s="575"/>
      <c r="R33" s="16"/>
    </row>
    <row r="34" spans="1:20" s="50" customFormat="1" ht="65.25" customHeight="1" x14ac:dyDescent="0.3">
      <c r="A34" s="475"/>
      <c r="B34" s="557"/>
      <c r="C34" s="106" t="s">
        <v>56</v>
      </c>
      <c r="D34" s="99" t="s">
        <v>74</v>
      </c>
      <c r="E34" s="100" t="s">
        <v>27</v>
      </c>
      <c r="F34" s="101" t="s">
        <v>77</v>
      </c>
      <c r="G34" s="101" t="s">
        <v>16</v>
      </c>
      <c r="H34" s="111" t="s">
        <v>263</v>
      </c>
      <c r="I34" s="103" t="s">
        <v>28</v>
      </c>
      <c r="J34" s="135"/>
      <c r="K34" s="136"/>
      <c r="L34" s="303">
        <v>208000</v>
      </c>
      <c r="M34" s="303"/>
      <c r="N34" s="136"/>
      <c r="O34" s="136"/>
      <c r="P34" s="136">
        <f t="shared" si="3"/>
        <v>208000</v>
      </c>
      <c r="Q34" s="236"/>
      <c r="R34" s="16"/>
    </row>
    <row r="35" spans="1:20" s="33" customFormat="1" ht="98.25" customHeight="1" x14ac:dyDescent="0.3">
      <c r="A35" s="474" t="s">
        <v>73</v>
      </c>
      <c r="B35" s="587" t="s">
        <v>212</v>
      </c>
      <c r="C35" s="137" t="s">
        <v>56</v>
      </c>
      <c r="D35" s="138" t="s">
        <v>74</v>
      </c>
      <c r="E35" s="139" t="s">
        <v>27</v>
      </c>
      <c r="F35" s="140" t="s">
        <v>77</v>
      </c>
      <c r="G35" s="140" t="s">
        <v>16</v>
      </c>
      <c r="H35" s="141" t="s">
        <v>262</v>
      </c>
      <c r="I35" s="142" t="s">
        <v>80</v>
      </c>
      <c r="J35" s="251"/>
      <c r="K35" s="251">
        <v>2000</v>
      </c>
      <c r="L35" s="133">
        <f>3500+2100+1600</f>
        <v>7200</v>
      </c>
      <c r="M35" s="329"/>
      <c r="N35" s="251"/>
      <c r="O35" s="251"/>
      <c r="P35" s="251">
        <f t="shared" si="3"/>
        <v>9200</v>
      </c>
      <c r="Q35" s="252"/>
      <c r="R35" s="16" t="s">
        <v>213</v>
      </c>
    </row>
    <row r="36" spans="1:20" s="50" customFormat="1" ht="80.25" customHeight="1" x14ac:dyDescent="0.3">
      <c r="A36" s="579"/>
      <c r="B36" s="588"/>
      <c r="C36" s="143" t="s">
        <v>56</v>
      </c>
      <c r="D36" s="138" t="s">
        <v>74</v>
      </c>
      <c r="E36" s="139" t="s">
        <v>75</v>
      </c>
      <c r="F36" s="253" t="s">
        <v>77</v>
      </c>
      <c r="G36" s="140" t="s">
        <v>16</v>
      </c>
      <c r="H36" s="141" t="s">
        <v>262</v>
      </c>
      <c r="I36" s="142" t="s">
        <v>80</v>
      </c>
      <c r="J36" s="251"/>
      <c r="K36" s="251"/>
      <c r="L36" s="133">
        <f>2000+2100</f>
        <v>4100</v>
      </c>
      <c r="M36" s="329"/>
      <c r="N36" s="251"/>
      <c r="O36" s="251"/>
      <c r="P36" s="251">
        <f>L36</f>
        <v>4100</v>
      </c>
      <c r="Q36" s="252"/>
      <c r="R36" s="16"/>
    </row>
    <row r="37" spans="1:20" s="49" customFormat="1" ht="78.75" customHeight="1" x14ac:dyDescent="0.3">
      <c r="A37" s="475"/>
      <c r="B37" s="589"/>
      <c r="C37" s="143" t="s">
        <v>56</v>
      </c>
      <c r="D37" s="144" t="s">
        <v>74</v>
      </c>
      <c r="E37" s="145" t="s">
        <v>27</v>
      </c>
      <c r="F37" s="145" t="s">
        <v>77</v>
      </c>
      <c r="G37" s="146" t="s">
        <v>16</v>
      </c>
      <c r="H37" s="147" t="s">
        <v>262</v>
      </c>
      <c r="I37" s="148" t="s">
        <v>28</v>
      </c>
      <c r="J37" s="143"/>
      <c r="K37" s="143"/>
      <c r="L37" s="307">
        <f>4206+94</f>
        <v>4300</v>
      </c>
      <c r="M37" s="307"/>
      <c r="N37" s="143"/>
      <c r="O37" s="143"/>
      <c r="P37" s="143">
        <f>L37</f>
        <v>4300</v>
      </c>
      <c r="Q37" s="252"/>
      <c r="R37" s="16"/>
    </row>
    <row r="38" spans="1:20" ht="30.75" customHeight="1" x14ac:dyDescent="0.25">
      <c r="A38" s="243"/>
      <c r="B38" s="244" t="s">
        <v>18</v>
      </c>
      <c r="C38" s="245"/>
      <c r="D38" s="244"/>
      <c r="E38" s="244"/>
      <c r="F38" s="254"/>
      <c r="G38" s="255"/>
      <c r="H38" s="256"/>
      <c r="I38" s="244"/>
      <c r="J38" s="257">
        <f>SUM(J28:J33)</f>
        <v>1893600</v>
      </c>
      <c r="K38" s="257">
        <f>SUM(K28:K35)</f>
        <v>202000</v>
      </c>
      <c r="L38" s="257">
        <f>L31+L32+L33+L34+L35+L36+L37</f>
        <v>773600</v>
      </c>
      <c r="M38" s="257">
        <f>SUM(M28:M30)</f>
        <v>0</v>
      </c>
      <c r="N38" s="257">
        <f>SUM(N28:N30)</f>
        <v>0</v>
      </c>
      <c r="O38" s="257">
        <f>SUM(O28:O30)</f>
        <v>0</v>
      </c>
      <c r="P38" s="257">
        <f>SUM(P28:P37)</f>
        <v>2869200</v>
      </c>
      <c r="Q38" s="245"/>
      <c r="R38" s="8"/>
    </row>
    <row r="39" spans="1:20" ht="23.25" customHeight="1" x14ac:dyDescent="0.25">
      <c r="A39" s="199" t="s">
        <v>19</v>
      </c>
      <c r="B39" s="548" t="s">
        <v>222</v>
      </c>
      <c r="C39" s="549"/>
      <c r="D39" s="549"/>
      <c r="E39" s="549"/>
      <c r="F39" s="549"/>
      <c r="G39" s="549"/>
      <c r="H39" s="549"/>
      <c r="I39" s="549"/>
      <c r="J39" s="549"/>
      <c r="K39" s="549"/>
      <c r="L39" s="549"/>
      <c r="M39" s="549"/>
      <c r="N39" s="549"/>
      <c r="O39" s="549"/>
      <c r="P39" s="550"/>
      <c r="Q39" s="250"/>
    </row>
    <row r="40" spans="1:20" ht="54" customHeight="1" x14ac:dyDescent="0.3">
      <c r="A40" s="474" t="s">
        <v>174</v>
      </c>
      <c r="B40" s="556" t="s">
        <v>60</v>
      </c>
      <c r="C40" s="350" t="s">
        <v>56</v>
      </c>
      <c r="D40" s="99" t="s">
        <v>74</v>
      </c>
      <c r="E40" s="100" t="s">
        <v>27</v>
      </c>
      <c r="F40" s="101" t="s">
        <v>77</v>
      </c>
      <c r="G40" s="101" t="s">
        <v>16</v>
      </c>
      <c r="H40" s="86" t="s">
        <v>248</v>
      </c>
      <c r="I40" s="342" t="s">
        <v>28</v>
      </c>
      <c r="J40" s="87">
        <v>2126280</v>
      </c>
      <c r="K40" s="104"/>
      <c r="L40" s="104"/>
      <c r="M40" s="96"/>
      <c r="N40" s="104"/>
      <c r="O40" s="104"/>
      <c r="P40" s="104">
        <f>SUM(J40:M40)</f>
        <v>2126280</v>
      </c>
      <c r="Q40" s="576"/>
      <c r="R40" s="19"/>
      <c r="S40" s="20"/>
      <c r="T40" s="20"/>
    </row>
    <row r="41" spans="1:20" s="24" customFormat="1" ht="51" customHeight="1" x14ac:dyDescent="0.3">
      <c r="A41" s="585"/>
      <c r="B41" s="585"/>
      <c r="C41" s="350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42" t="s">
        <v>28</v>
      </c>
      <c r="J41" s="87">
        <v>662220</v>
      </c>
      <c r="K41" s="104">
        <f>345000+65100+10000</f>
        <v>420100</v>
      </c>
      <c r="L41" s="104">
        <f>75500+30000-250+30000+30000+20000</f>
        <v>185250</v>
      </c>
      <c r="M41" s="96">
        <f>120000+59750</f>
        <v>179750</v>
      </c>
      <c r="N41" s="104">
        <f>120000+59750</f>
        <v>179750</v>
      </c>
      <c r="O41" s="104">
        <f>120000+59750</f>
        <v>179750</v>
      </c>
      <c r="P41" s="104">
        <f>SUM(J41:O41)</f>
        <v>1806820</v>
      </c>
      <c r="Q41" s="577"/>
      <c r="R41" s="31" t="s">
        <v>186</v>
      </c>
      <c r="S41" s="25"/>
      <c r="T41" s="25"/>
    </row>
    <row r="42" spans="1:20" ht="38.25" customHeight="1" x14ac:dyDescent="0.3">
      <c r="A42" s="585"/>
      <c r="B42" s="585"/>
      <c r="C42" s="350" t="s">
        <v>56</v>
      </c>
      <c r="D42" s="342" t="s">
        <v>74</v>
      </c>
      <c r="E42" s="342" t="s">
        <v>75</v>
      </c>
      <c r="F42" s="162" t="s">
        <v>77</v>
      </c>
      <c r="G42" s="183" t="s">
        <v>16</v>
      </c>
      <c r="H42" s="86" t="s">
        <v>248</v>
      </c>
      <c r="I42" s="342" t="s">
        <v>80</v>
      </c>
      <c r="J42" s="87">
        <v>18500</v>
      </c>
      <c r="K42" s="104">
        <f>20000-2050</f>
        <v>17950</v>
      </c>
      <c r="L42" s="81">
        <f>20000-2000-2100-721.7</f>
        <v>15178.3</v>
      </c>
      <c r="M42" s="96">
        <v>20000</v>
      </c>
      <c r="N42" s="104">
        <v>20000</v>
      </c>
      <c r="O42" s="104">
        <v>20000</v>
      </c>
      <c r="P42" s="104">
        <f>SUM(J42:O42)</f>
        <v>111628.3</v>
      </c>
      <c r="Q42" s="577"/>
      <c r="R42" s="34" t="s">
        <v>209</v>
      </c>
      <c r="S42" s="21"/>
      <c r="T42" s="21"/>
    </row>
    <row r="43" spans="1:20" ht="43.5" customHeight="1" x14ac:dyDescent="0.3">
      <c r="A43" s="585"/>
      <c r="B43" s="585"/>
      <c r="C43" s="350" t="s">
        <v>56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248</v>
      </c>
      <c r="I43" s="342" t="s">
        <v>80</v>
      </c>
      <c r="J43" s="87"/>
      <c r="K43" s="104">
        <f>537000+103000+110000+988454-80000-37559</f>
        <v>1620895</v>
      </c>
      <c r="L43" s="81">
        <v>1482800</v>
      </c>
      <c r="M43" s="96">
        <f>1067000+103000+110000-13300+150000-239005.02</f>
        <v>1177694.98</v>
      </c>
      <c r="N43" s="104">
        <f>1280000</f>
        <v>1280000</v>
      </c>
      <c r="O43" s="104">
        <f>N43</f>
        <v>1280000</v>
      </c>
      <c r="P43" s="104">
        <f>J43+K43+L43+M43+N43+O43</f>
        <v>6841389.9800000004</v>
      </c>
      <c r="Q43" s="577"/>
      <c r="R43" s="34" t="s">
        <v>210</v>
      </c>
      <c r="S43" s="21"/>
      <c r="T43" s="21"/>
    </row>
    <row r="44" spans="1:20" ht="38.25" hidden="1" customHeight="1" x14ac:dyDescent="0.3">
      <c r="A44" s="585"/>
      <c r="B44" s="585"/>
      <c r="C44" s="350" t="s">
        <v>162</v>
      </c>
      <c r="D44" s="342" t="s">
        <v>74</v>
      </c>
      <c r="E44" s="342" t="s">
        <v>27</v>
      </c>
      <c r="F44" s="162" t="s">
        <v>77</v>
      </c>
      <c r="G44" s="183" t="s">
        <v>16</v>
      </c>
      <c r="H44" s="79" t="s">
        <v>99</v>
      </c>
      <c r="I44" s="342" t="s">
        <v>80</v>
      </c>
      <c r="J44" s="87">
        <v>0</v>
      </c>
      <c r="K44" s="104">
        <f>15000+10000+20000+20000+10000+33000+10000+15000+869000+10000+20000+30000+16000+20000</f>
        <v>1098000</v>
      </c>
      <c r="L44" s="104">
        <f>15000+10000+20000+20000+10000+33000+10000+15000+869000+10000+20000+30000+16000+20000+200000</f>
        <v>1298000</v>
      </c>
      <c r="M44" s="96">
        <f>15000+10000+20000+20000+10000+33000+10000+15000+869000+10000+20000+30000+16000+20000+200000</f>
        <v>1298000</v>
      </c>
      <c r="N44" s="104"/>
      <c r="O44" s="104"/>
      <c r="P44" s="104">
        <f t="shared" ref="P44" si="4">SUM(J44:M44)</f>
        <v>3694000</v>
      </c>
      <c r="Q44" s="577"/>
      <c r="R44" s="583"/>
      <c r="S44" s="584"/>
      <c r="T44" s="584"/>
    </row>
    <row r="45" spans="1:20" ht="24.75" hidden="1" customHeight="1" x14ac:dyDescent="0.3">
      <c r="A45" s="585"/>
      <c r="B45" s="585"/>
      <c r="C45" s="350" t="s">
        <v>165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2" t="s">
        <v>80</v>
      </c>
      <c r="J45" s="87">
        <v>0</v>
      </c>
      <c r="K45" s="104">
        <v>110000</v>
      </c>
      <c r="L45" s="104">
        <v>110000</v>
      </c>
      <c r="M45" s="96">
        <v>110000</v>
      </c>
      <c r="N45" s="104"/>
      <c r="O45" s="104"/>
      <c r="P45" s="104">
        <f t="shared" ref="P45:P55" si="5">SUM(J45:M45)</f>
        <v>330000</v>
      </c>
      <c r="Q45" s="577"/>
      <c r="R45" s="16"/>
    </row>
    <row r="46" spans="1:20" ht="24" hidden="1" customHeight="1" x14ac:dyDescent="0.3">
      <c r="A46" s="585"/>
      <c r="B46" s="585"/>
      <c r="C46" s="350" t="s">
        <v>163</v>
      </c>
      <c r="D46" s="99" t="s">
        <v>74</v>
      </c>
      <c r="E46" s="100" t="s">
        <v>27</v>
      </c>
      <c r="F46" s="101" t="s">
        <v>77</v>
      </c>
      <c r="G46" s="101" t="s">
        <v>16</v>
      </c>
      <c r="H46" s="86" t="s">
        <v>99</v>
      </c>
      <c r="I46" s="342" t="s">
        <v>80</v>
      </c>
      <c r="J46" s="87">
        <v>0</v>
      </c>
      <c r="K46" s="104">
        <f>60000+20000+28000+15000</f>
        <v>123000</v>
      </c>
      <c r="L46" s="104">
        <f t="shared" ref="L46:M46" si="6">60000+20000+28000+15000</f>
        <v>123000</v>
      </c>
      <c r="M46" s="96">
        <f t="shared" si="6"/>
        <v>123000</v>
      </c>
      <c r="N46" s="104"/>
      <c r="O46" s="104"/>
      <c r="P46" s="104">
        <f t="shared" si="5"/>
        <v>369000</v>
      </c>
      <c r="Q46" s="577"/>
      <c r="R46" s="16"/>
    </row>
    <row r="47" spans="1:20" ht="24" hidden="1" customHeight="1" x14ac:dyDescent="0.3">
      <c r="A47" s="585"/>
      <c r="B47" s="585"/>
      <c r="C47" s="350" t="s">
        <v>164</v>
      </c>
      <c r="D47" s="99" t="s">
        <v>74</v>
      </c>
      <c r="E47" s="100" t="s">
        <v>27</v>
      </c>
      <c r="F47" s="101" t="s">
        <v>77</v>
      </c>
      <c r="G47" s="101" t="s">
        <v>16</v>
      </c>
      <c r="H47" s="86" t="s">
        <v>99</v>
      </c>
      <c r="I47" s="342" t="s">
        <v>80</v>
      </c>
      <c r="J47" s="87">
        <v>0</v>
      </c>
      <c r="K47" s="104">
        <f>10000+20000+15000</f>
        <v>45000</v>
      </c>
      <c r="L47" s="104">
        <f t="shared" ref="L47:M47" si="7">10000+20000+15000</f>
        <v>45000</v>
      </c>
      <c r="M47" s="96">
        <f t="shared" si="7"/>
        <v>45000</v>
      </c>
      <c r="N47" s="104"/>
      <c r="O47" s="104"/>
      <c r="P47" s="104">
        <f t="shared" si="5"/>
        <v>135000</v>
      </c>
      <c r="Q47" s="577"/>
      <c r="R47" s="16"/>
    </row>
    <row r="48" spans="1:20" ht="36.75" hidden="1" customHeight="1" x14ac:dyDescent="0.3">
      <c r="A48" s="586"/>
      <c r="B48" s="586"/>
      <c r="C48" s="349" t="s">
        <v>166</v>
      </c>
      <c r="D48" s="99" t="s">
        <v>74</v>
      </c>
      <c r="E48" s="100" t="s">
        <v>75</v>
      </c>
      <c r="F48" s="101" t="s">
        <v>77</v>
      </c>
      <c r="G48" s="101" t="s">
        <v>16</v>
      </c>
      <c r="H48" s="86" t="s">
        <v>99</v>
      </c>
      <c r="I48" s="342" t="s">
        <v>80</v>
      </c>
      <c r="J48" s="87">
        <v>18500</v>
      </c>
      <c r="K48" s="104">
        <f>10000+10000</f>
        <v>20000</v>
      </c>
      <c r="L48" s="104">
        <f t="shared" ref="L48:M48" si="8">10000+10000</f>
        <v>20000</v>
      </c>
      <c r="M48" s="96">
        <f t="shared" si="8"/>
        <v>20000</v>
      </c>
      <c r="N48" s="104"/>
      <c r="O48" s="104"/>
      <c r="P48" s="104">
        <f t="shared" si="5"/>
        <v>78500</v>
      </c>
      <c r="Q48" s="578"/>
      <c r="R48" s="16"/>
    </row>
    <row r="49" spans="1:18" ht="81" customHeight="1" x14ac:dyDescent="0.3">
      <c r="A49" s="209" t="s">
        <v>98</v>
      </c>
      <c r="B49" s="349" t="s">
        <v>114</v>
      </c>
      <c r="C49" s="349" t="s">
        <v>56</v>
      </c>
      <c r="D49" s="92" t="s">
        <v>74</v>
      </c>
      <c r="E49" s="93" t="s">
        <v>27</v>
      </c>
      <c r="F49" s="94" t="s">
        <v>77</v>
      </c>
      <c r="G49" s="94" t="s">
        <v>16</v>
      </c>
      <c r="H49" s="86" t="s">
        <v>247</v>
      </c>
      <c r="I49" s="342" t="s">
        <v>28</v>
      </c>
      <c r="J49" s="87">
        <f>300000-29040-15000-100000-33600</f>
        <v>122360</v>
      </c>
      <c r="K49" s="104">
        <v>0</v>
      </c>
      <c r="L49" s="104">
        <v>0</v>
      </c>
      <c r="M49" s="96"/>
      <c r="N49" s="104"/>
      <c r="O49" s="104"/>
      <c r="P49" s="104">
        <f t="shared" si="5"/>
        <v>122360</v>
      </c>
      <c r="Q49" s="370"/>
      <c r="R49" s="16"/>
    </row>
    <row r="50" spans="1:18" s="56" customFormat="1" ht="189.75" customHeight="1" x14ac:dyDescent="0.3">
      <c r="A50" s="209" t="s">
        <v>300</v>
      </c>
      <c r="B50" s="438" t="s">
        <v>339</v>
      </c>
      <c r="C50" s="380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338</v>
      </c>
      <c r="I50" s="378" t="s">
        <v>80</v>
      </c>
      <c r="J50" s="87"/>
      <c r="K50" s="104"/>
      <c r="L50" s="104"/>
      <c r="M50" s="96">
        <v>752800</v>
      </c>
      <c r="N50" s="104"/>
      <c r="O50" s="104"/>
      <c r="P50" s="104">
        <f t="shared" si="5"/>
        <v>752800</v>
      </c>
      <c r="Q50" s="370"/>
      <c r="R50" s="16"/>
    </row>
    <row r="51" spans="1:18" s="56" customFormat="1" ht="189.75" customHeight="1" x14ac:dyDescent="0.3">
      <c r="A51" s="209" t="s">
        <v>316</v>
      </c>
      <c r="B51" s="412" t="s">
        <v>317</v>
      </c>
      <c r="C51" s="412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318</v>
      </c>
      <c r="I51" s="410" t="s">
        <v>80</v>
      </c>
      <c r="J51" s="87"/>
      <c r="K51" s="104"/>
      <c r="L51" s="104"/>
      <c r="M51" s="96">
        <f>2112480</f>
        <v>2112480</v>
      </c>
      <c r="N51" s="104"/>
      <c r="O51" s="104"/>
      <c r="P51" s="104">
        <f t="shared" si="5"/>
        <v>2112480</v>
      </c>
      <c r="Q51" s="370"/>
      <c r="R51" s="16"/>
    </row>
    <row r="52" spans="1:18" s="56" customFormat="1" ht="189.75" customHeight="1" x14ac:dyDescent="0.3">
      <c r="A52" s="209" t="s">
        <v>319</v>
      </c>
      <c r="B52" s="417" t="s">
        <v>317</v>
      </c>
      <c r="C52" s="417" t="s">
        <v>56</v>
      </c>
      <c r="D52" s="92" t="s">
        <v>74</v>
      </c>
      <c r="E52" s="93" t="s">
        <v>27</v>
      </c>
      <c r="F52" s="94" t="s">
        <v>77</v>
      </c>
      <c r="G52" s="94" t="s">
        <v>16</v>
      </c>
      <c r="H52" s="86" t="s">
        <v>318</v>
      </c>
      <c r="I52" s="415" t="s">
        <v>80</v>
      </c>
      <c r="J52" s="87"/>
      <c r="K52" s="104"/>
      <c r="L52" s="104"/>
      <c r="M52" s="96">
        <v>234720</v>
      </c>
      <c r="N52" s="104"/>
      <c r="O52" s="104"/>
      <c r="P52" s="104">
        <f t="shared" si="5"/>
        <v>234720</v>
      </c>
      <c r="Q52" s="370"/>
      <c r="R52" s="16"/>
    </row>
    <row r="53" spans="1:18" s="56" customFormat="1" ht="220.5" customHeight="1" x14ac:dyDescent="0.3">
      <c r="A53" s="209" t="s">
        <v>320</v>
      </c>
      <c r="B53" s="425" t="s">
        <v>322</v>
      </c>
      <c r="C53" s="417" t="s">
        <v>56</v>
      </c>
      <c r="D53" s="92" t="s">
        <v>74</v>
      </c>
      <c r="E53" s="93" t="s">
        <v>27</v>
      </c>
      <c r="F53" s="94" t="s">
        <v>77</v>
      </c>
      <c r="G53" s="94" t="s">
        <v>16</v>
      </c>
      <c r="H53" s="86" t="s">
        <v>321</v>
      </c>
      <c r="I53" s="415" t="s">
        <v>80</v>
      </c>
      <c r="J53" s="87"/>
      <c r="K53" s="104"/>
      <c r="L53" s="104"/>
      <c r="M53" s="96">
        <f>13300</f>
        <v>13300</v>
      </c>
      <c r="N53" s="104"/>
      <c r="O53" s="104"/>
      <c r="P53" s="104">
        <f t="shared" si="5"/>
        <v>13300</v>
      </c>
      <c r="Q53" s="370"/>
      <c r="R53" s="16"/>
    </row>
    <row r="54" spans="1:18" s="56" customFormat="1" ht="220.5" customHeight="1" x14ac:dyDescent="0.3">
      <c r="A54" s="209" t="s">
        <v>323</v>
      </c>
      <c r="B54" s="425" t="s">
        <v>324</v>
      </c>
      <c r="C54" s="424" t="s">
        <v>56</v>
      </c>
      <c r="D54" s="92" t="s">
        <v>74</v>
      </c>
      <c r="E54" s="93" t="s">
        <v>27</v>
      </c>
      <c r="F54" s="94" t="s">
        <v>77</v>
      </c>
      <c r="G54" s="94" t="s">
        <v>16</v>
      </c>
      <c r="H54" s="86" t="s">
        <v>325</v>
      </c>
      <c r="I54" s="421" t="s">
        <v>80</v>
      </c>
      <c r="J54" s="87"/>
      <c r="K54" s="104"/>
      <c r="L54" s="104"/>
      <c r="M54" s="96">
        <f>1329000</f>
        <v>1329000</v>
      </c>
      <c r="N54" s="104"/>
      <c r="O54" s="104"/>
      <c r="P54" s="104">
        <f t="shared" si="5"/>
        <v>1329000</v>
      </c>
      <c r="Q54" s="370"/>
      <c r="R54" s="16"/>
    </row>
    <row r="55" spans="1:18" s="56" customFormat="1" ht="220.5" customHeight="1" x14ac:dyDescent="0.3">
      <c r="A55" s="209" t="s">
        <v>346</v>
      </c>
      <c r="B55" s="453" t="s">
        <v>348</v>
      </c>
      <c r="C55" s="453" t="s">
        <v>56</v>
      </c>
      <c r="D55" s="92" t="s">
        <v>74</v>
      </c>
      <c r="E55" s="93" t="s">
        <v>27</v>
      </c>
      <c r="F55" s="94" t="s">
        <v>77</v>
      </c>
      <c r="G55" s="94" t="s">
        <v>16</v>
      </c>
      <c r="H55" s="86" t="s">
        <v>347</v>
      </c>
      <c r="I55" s="451" t="s">
        <v>80</v>
      </c>
      <c r="J55" s="87"/>
      <c r="K55" s="104"/>
      <c r="L55" s="104"/>
      <c r="M55" s="96">
        <f>3000000</f>
        <v>3000000</v>
      </c>
      <c r="N55" s="104"/>
      <c r="O55" s="104"/>
      <c r="P55" s="104">
        <f t="shared" si="5"/>
        <v>3000000</v>
      </c>
      <c r="Q55" s="370"/>
      <c r="R55" s="16"/>
    </row>
    <row r="56" spans="1:18" ht="27" customHeight="1" x14ac:dyDescent="0.25">
      <c r="A56" s="243"/>
      <c r="B56" s="244" t="s">
        <v>21</v>
      </c>
      <c r="C56" s="245"/>
      <c r="D56" s="244"/>
      <c r="E56" s="244"/>
      <c r="F56" s="246"/>
      <c r="G56" s="247"/>
      <c r="H56" s="248"/>
      <c r="I56" s="244"/>
      <c r="J56" s="249">
        <f>J40+J41+J42+J43+J49</f>
        <v>2929360</v>
      </c>
      <c r="K56" s="249">
        <f>K41+K42+K43</f>
        <v>2058945</v>
      </c>
      <c r="L56" s="249">
        <f>L41+L42+L43</f>
        <v>1683228.3</v>
      </c>
      <c r="M56" s="249">
        <f>M41+M42+M43+M49+M50+M51+M52+M53+M54+M55</f>
        <v>8819744.9800000004</v>
      </c>
      <c r="N56" s="249">
        <f>N41+N42+N43</f>
        <v>1479750</v>
      </c>
      <c r="O56" s="249">
        <f>O41+O42+O43</f>
        <v>1479750</v>
      </c>
      <c r="P56" s="249">
        <f>J56+K56+L56+M56+N56+O56</f>
        <v>18450778.280000001</v>
      </c>
      <c r="Q56" s="245"/>
      <c r="R56" s="8"/>
    </row>
    <row r="57" spans="1:18" ht="33" customHeight="1" x14ac:dyDescent="0.25">
      <c r="A57" s="224"/>
      <c r="B57" s="225" t="s">
        <v>24</v>
      </c>
      <c r="C57" s="225"/>
      <c r="D57" s="225"/>
      <c r="E57" s="225"/>
      <c r="F57" s="226"/>
      <c r="G57" s="227"/>
      <c r="H57" s="228"/>
      <c r="I57" s="225"/>
      <c r="J57" s="229">
        <f t="shared" ref="J57:P57" si="9">J26+J38+J56</f>
        <v>41738870.470000006</v>
      </c>
      <c r="K57" s="229">
        <f t="shared" si="9"/>
        <v>34136465.450000003</v>
      </c>
      <c r="L57" s="229">
        <f t="shared" si="9"/>
        <v>35072850.270000003</v>
      </c>
      <c r="M57" s="229">
        <f t="shared" si="9"/>
        <v>42175604.719999999</v>
      </c>
      <c r="N57" s="229">
        <f t="shared" si="9"/>
        <v>33718876.650000006</v>
      </c>
      <c r="O57" s="229">
        <f t="shared" si="9"/>
        <v>33718876.650000006</v>
      </c>
      <c r="P57" s="229">
        <f t="shared" si="9"/>
        <v>220561544.21000004</v>
      </c>
      <c r="Q57" s="225"/>
      <c r="R57" s="8"/>
    </row>
    <row r="58" spans="1:18" x14ac:dyDescent="0.25">
      <c r="A58" s="103"/>
      <c r="B58" s="125" t="s">
        <v>25</v>
      </c>
      <c r="C58" s="125"/>
      <c r="D58" s="125"/>
      <c r="E58" s="125"/>
      <c r="F58" s="162"/>
      <c r="G58" s="163"/>
      <c r="H58" s="230"/>
      <c r="I58" s="125"/>
      <c r="J58" s="104"/>
      <c r="K58" s="104"/>
      <c r="L58" s="104"/>
      <c r="M58" s="96"/>
      <c r="N58" s="104"/>
      <c r="O58" s="104"/>
      <c r="P58" s="104"/>
      <c r="Q58" s="125"/>
    </row>
    <row r="59" spans="1:18" ht="22.5" customHeight="1" x14ac:dyDescent="0.25">
      <c r="A59" s="103"/>
      <c r="B59" s="125" t="s">
        <v>168</v>
      </c>
      <c r="C59" s="125"/>
      <c r="D59" s="125"/>
      <c r="E59" s="125"/>
      <c r="F59" s="162"/>
      <c r="G59" s="163"/>
      <c r="H59" s="230"/>
      <c r="I59" s="125"/>
      <c r="J59" s="104">
        <v>6181600</v>
      </c>
      <c r="K59" s="104"/>
      <c r="L59" s="104"/>
      <c r="M59" s="96">
        <f>M51</f>
        <v>2112480</v>
      </c>
      <c r="N59" s="104"/>
      <c r="O59" s="104"/>
      <c r="P59" s="104">
        <f>SUM(J59:M59)</f>
        <v>8294080</v>
      </c>
      <c r="Q59" s="125"/>
    </row>
    <row r="60" spans="1:18" ht="26.25" customHeight="1" x14ac:dyDescent="0.25">
      <c r="A60" s="103"/>
      <c r="B60" s="126" t="s">
        <v>169</v>
      </c>
      <c r="C60" s="125"/>
      <c r="D60" s="125"/>
      <c r="E60" s="125"/>
      <c r="F60" s="162"/>
      <c r="G60" s="163"/>
      <c r="H60" s="230"/>
      <c r="I60" s="125"/>
      <c r="J60" s="136">
        <f>556913.66+125691.96+1860000+197569.99</f>
        <v>2740175.6100000003</v>
      </c>
      <c r="K60" s="136">
        <f>K10+K17+K12+K31</f>
        <v>1479370.68</v>
      </c>
      <c r="L60" s="174">
        <f>L31+L33+L34+L10+L17+L12+L19</f>
        <v>1291232.52</v>
      </c>
      <c r="M60" s="313">
        <f>M52+M54+M10+M12+M17+M19+M20+M13</f>
        <v>3514028.64</v>
      </c>
      <c r="N60" s="174"/>
      <c r="O60" s="174"/>
      <c r="P60" s="104">
        <f>SUM(J60:M60)</f>
        <v>9024807.4500000011</v>
      </c>
      <c r="Q60" s="125"/>
    </row>
    <row r="61" spans="1:18" ht="30" customHeight="1" x14ac:dyDescent="0.25">
      <c r="A61" s="103"/>
      <c r="B61" s="125" t="s">
        <v>170</v>
      </c>
      <c r="C61" s="125"/>
      <c r="D61" s="125"/>
      <c r="E61" s="125"/>
      <c r="F61" s="162"/>
      <c r="G61" s="163"/>
      <c r="H61" s="230"/>
      <c r="I61" s="125"/>
      <c r="J61" s="104">
        <f>J57-J60-J59</f>
        <v>32817094.860000007</v>
      </c>
      <c r="K61" s="104">
        <f>K57-K60-K59</f>
        <v>32657094.770000003</v>
      </c>
      <c r="L61" s="104">
        <f>L57-L59-L60</f>
        <v>33781617.75</v>
      </c>
      <c r="M61" s="96">
        <f>M57-M60-M59</f>
        <v>36549096.079999998</v>
      </c>
      <c r="N61" s="104">
        <f>N57</f>
        <v>33718876.650000006</v>
      </c>
      <c r="O61" s="104">
        <f>O57</f>
        <v>33718876.650000006</v>
      </c>
      <c r="P61" s="104">
        <f>SUM(J61:O61)</f>
        <v>203242656.76000002</v>
      </c>
      <c r="Q61" s="125"/>
    </row>
    <row r="62" spans="1:18" ht="30" customHeight="1" x14ac:dyDescent="0.25">
      <c r="A62" s="1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90"/>
      <c r="N62" s="2"/>
      <c r="O62" s="2"/>
      <c r="P62" s="2"/>
      <c r="Q62" s="2"/>
    </row>
    <row r="63" spans="1:18" x14ac:dyDescent="0.25">
      <c r="A63" s="1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90"/>
      <c r="N63" s="2"/>
      <c r="O63" s="2"/>
      <c r="P63" s="2"/>
      <c r="Q63" s="2"/>
      <c r="R63" s="8"/>
    </row>
    <row r="66" spans="1:18" s="11" customFormat="1" ht="31.5" customHeight="1" x14ac:dyDescent="0.25">
      <c r="A66" s="544"/>
      <c r="B66" s="544"/>
      <c r="C66" s="544"/>
      <c r="D66" s="544"/>
      <c r="E66" s="544"/>
      <c r="F66" s="544"/>
      <c r="G66" s="544"/>
      <c r="H66" s="544"/>
      <c r="I66" s="544"/>
      <c r="J66" s="10"/>
      <c r="K66" s="10"/>
      <c r="L66" s="10"/>
      <c r="M66" s="291"/>
      <c r="N66" s="10"/>
      <c r="O66" s="10"/>
      <c r="P66" s="10"/>
    </row>
    <row r="68" spans="1:18" x14ac:dyDescent="0.25">
      <c r="J68" s="8"/>
      <c r="K68" s="8"/>
      <c r="L68" s="8"/>
      <c r="M68" s="292"/>
      <c r="N68" s="8"/>
      <c r="O68" s="8"/>
      <c r="P68" s="8"/>
    </row>
    <row r="69" spans="1:18" x14ac:dyDescent="0.25">
      <c r="J69" s="8"/>
      <c r="K69" s="8"/>
      <c r="L69" s="8"/>
      <c r="M69" s="292"/>
      <c r="N69" s="8"/>
      <c r="O69" s="8"/>
      <c r="P69" s="8"/>
      <c r="R69" s="8"/>
    </row>
  </sheetData>
  <mergeCells count="33">
    <mergeCell ref="A35:A37"/>
    <mergeCell ref="B27:P27"/>
    <mergeCell ref="B35:B37"/>
    <mergeCell ref="Q5:Q6"/>
    <mergeCell ref="A66:I66"/>
    <mergeCell ref="Q31:Q33"/>
    <mergeCell ref="B24:B25"/>
    <mergeCell ref="A24:A25"/>
    <mergeCell ref="A28:A30"/>
    <mergeCell ref="B28:B30"/>
    <mergeCell ref="B31:B34"/>
    <mergeCell ref="A31:A34"/>
    <mergeCell ref="R44:T44"/>
    <mergeCell ref="A40:A48"/>
    <mergeCell ref="B40:B48"/>
    <mergeCell ref="Q40:Q48"/>
    <mergeCell ref="B39:P39"/>
    <mergeCell ref="M1:Q1"/>
    <mergeCell ref="Q28:Q30"/>
    <mergeCell ref="Q16:Q18"/>
    <mergeCell ref="A16:A21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5"/>
    <mergeCell ref="Q10:Q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83"/>
  <sheetViews>
    <sheetView tabSelected="1" view="pageBreakPreview" zoomScale="60" zoomScaleNormal="85" workbookViewId="0">
      <selection activeCell="P60" sqref="P60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3.109375" style="9" customWidth="1"/>
    <col min="8" max="8" width="12.44140625" style="9" customWidth="1"/>
    <col min="9" max="9" width="9.109375" style="9"/>
    <col min="10" max="10" width="20.109375" style="9" customWidth="1"/>
    <col min="11" max="11" width="21.109375" style="9" customWidth="1"/>
    <col min="12" max="12" width="20.88671875" style="9" customWidth="1"/>
    <col min="13" max="13" width="22" style="293" customWidth="1"/>
    <col min="14" max="14" width="20.5546875" style="40" customWidth="1"/>
    <col min="15" max="15" width="22" style="56" customWidth="1"/>
    <col min="16" max="16" width="22.88671875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19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72" t="s">
        <v>345</v>
      </c>
      <c r="N1" s="572"/>
      <c r="O1" s="572"/>
      <c r="P1" s="572"/>
      <c r="Q1" s="572"/>
    </row>
    <row r="2" spans="1:19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595" t="s">
        <v>296</v>
      </c>
      <c r="N2" s="595"/>
      <c r="O2" s="595"/>
      <c r="P2" s="596"/>
      <c r="Q2" s="596"/>
      <c r="R2" s="1"/>
    </row>
    <row r="3" spans="1:19" ht="39" customHeight="1" x14ac:dyDescent="0.25">
      <c r="A3" s="597" t="s">
        <v>228</v>
      </c>
      <c r="B3" s="597"/>
      <c r="C3" s="597"/>
      <c r="D3" s="597"/>
      <c r="E3" s="597"/>
      <c r="F3" s="597"/>
      <c r="G3" s="597"/>
      <c r="H3" s="597"/>
      <c r="I3" s="597"/>
      <c r="J3" s="597"/>
      <c r="K3" s="597"/>
      <c r="L3" s="597"/>
      <c r="M3" s="597"/>
      <c r="N3" s="597"/>
      <c r="O3" s="597"/>
      <c r="P3" s="597"/>
      <c r="Q3" s="597"/>
    </row>
    <row r="4" spans="1:19" x14ac:dyDescent="0.25">
      <c r="A4" s="319"/>
      <c r="B4" s="325"/>
      <c r="C4" s="325"/>
      <c r="D4" s="325"/>
      <c r="E4" s="322"/>
      <c r="F4" s="323" t="s">
        <v>29</v>
      </c>
      <c r="G4" s="322">
        <v>5</v>
      </c>
      <c r="H4" s="322"/>
      <c r="I4" s="322"/>
      <c r="J4" s="325"/>
      <c r="K4" s="325"/>
      <c r="L4" s="325"/>
      <c r="M4" s="325"/>
      <c r="N4" s="325"/>
      <c r="O4" s="325"/>
      <c r="P4" s="325"/>
      <c r="Q4" s="325"/>
    </row>
    <row r="5" spans="1:19" ht="18" customHeight="1" x14ac:dyDescent="0.25">
      <c r="A5" s="554" t="s">
        <v>3</v>
      </c>
      <c r="B5" s="454" t="s">
        <v>282</v>
      </c>
      <c r="C5" s="555" t="s">
        <v>229</v>
      </c>
      <c r="D5" s="555" t="s">
        <v>4</v>
      </c>
      <c r="E5" s="555"/>
      <c r="F5" s="555"/>
      <c r="G5" s="555"/>
      <c r="H5" s="555"/>
      <c r="I5" s="555"/>
      <c r="J5" s="545" t="s">
        <v>225</v>
      </c>
      <c r="K5" s="546"/>
      <c r="L5" s="546"/>
      <c r="M5" s="546"/>
      <c r="N5" s="546"/>
      <c r="O5" s="546"/>
      <c r="P5" s="547"/>
      <c r="Q5" s="555" t="s">
        <v>5</v>
      </c>
    </row>
    <row r="6" spans="1:19" ht="83.25" customHeight="1" x14ac:dyDescent="0.25">
      <c r="A6" s="554"/>
      <c r="B6" s="456"/>
      <c r="C6" s="555"/>
      <c r="D6" s="326" t="s">
        <v>6</v>
      </c>
      <c r="E6" s="326" t="s">
        <v>7</v>
      </c>
      <c r="F6" s="545" t="s">
        <v>8</v>
      </c>
      <c r="G6" s="546"/>
      <c r="H6" s="547"/>
      <c r="I6" s="326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555"/>
    </row>
    <row r="7" spans="1:19" x14ac:dyDescent="0.25">
      <c r="A7" s="103"/>
      <c r="B7" s="551" t="s">
        <v>223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9" ht="19.5" customHeight="1" x14ac:dyDescent="0.25">
      <c r="A8" s="258" t="s">
        <v>13</v>
      </c>
      <c r="B8" s="599" t="s">
        <v>32</v>
      </c>
      <c r="C8" s="600"/>
      <c r="D8" s="600"/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1"/>
      <c r="Q8" s="259"/>
    </row>
    <row r="9" spans="1:19" ht="78.75" customHeight="1" x14ac:dyDescent="0.25">
      <c r="A9" s="474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244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f>10451508.17</f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73" t="s">
        <v>88</v>
      </c>
      <c r="R9" s="30" t="s">
        <v>185</v>
      </c>
    </row>
    <row r="10" spans="1:19" s="23" customFormat="1" ht="111.75" customHeight="1" x14ac:dyDescent="0.25">
      <c r="A10" s="579"/>
      <c r="B10" s="125" t="s">
        <v>172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255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2" si="0">SUM(J10:N10)</f>
        <v>13524.67</v>
      </c>
      <c r="Q10" s="574"/>
    </row>
    <row r="11" spans="1:19" ht="135" customHeight="1" x14ac:dyDescent="0.25">
      <c r="A11" s="579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>
        <f>35167.15</f>
        <v>35167.15</v>
      </c>
      <c r="N11" s="96"/>
      <c r="O11" s="96"/>
      <c r="P11" s="96">
        <f t="shared" si="0"/>
        <v>683202.21</v>
      </c>
      <c r="Q11" s="594"/>
    </row>
    <row r="12" spans="1:19" ht="149.25" customHeight="1" x14ac:dyDescent="0.25">
      <c r="A12" s="579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69"/>
    </row>
    <row r="13" spans="1:19" ht="66.75" customHeight="1" x14ac:dyDescent="0.25">
      <c r="A13" s="475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>
        <f>303592.93</f>
        <v>303592.93</v>
      </c>
      <c r="N13" s="104"/>
      <c r="O13" s="104"/>
      <c r="P13" s="96">
        <f t="shared" si="0"/>
        <v>893315.09000000008</v>
      </c>
      <c r="Q13" s="105"/>
      <c r="R13" s="9" t="s">
        <v>104</v>
      </c>
    </row>
    <row r="14" spans="1:19" s="56" customFormat="1" ht="188.25" customHeight="1" x14ac:dyDescent="0.25">
      <c r="A14" s="444"/>
      <c r="B14" s="445" t="s">
        <v>344</v>
      </c>
      <c r="C14" s="126" t="s">
        <v>56</v>
      </c>
      <c r="D14" s="100" t="s">
        <v>74</v>
      </c>
      <c r="E14" s="100" t="s">
        <v>75</v>
      </c>
      <c r="F14" s="101" t="s">
        <v>77</v>
      </c>
      <c r="G14" s="102">
        <v>3</v>
      </c>
      <c r="H14" s="100" t="s">
        <v>342</v>
      </c>
      <c r="I14" s="100" t="s">
        <v>78</v>
      </c>
      <c r="J14" s="164"/>
      <c r="K14" s="104"/>
      <c r="L14" s="81"/>
      <c r="M14" s="96">
        <f>376572.47</f>
        <v>376572.47</v>
      </c>
      <c r="N14" s="104"/>
      <c r="O14" s="104"/>
      <c r="P14" s="96">
        <f t="shared" si="0"/>
        <v>376572.47</v>
      </c>
      <c r="Q14" s="446"/>
    </row>
    <row r="15" spans="1:19" ht="161.25" customHeight="1" x14ac:dyDescent="0.25">
      <c r="A15" s="103" t="s">
        <v>14</v>
      </c>
      <c r="B15" s="445" t="s">
        <v>33</v>
      </c>
      <c r="C15" s="125" t="s">
        <v>56</v>
      </c>
      <c r="D15" s="103" t="s">
        <v>74</v>
      </c>
      <c r="E15" s="103" t="s">
        <v>75</v>
      </c>
      <c r="F15" s="162" t="s">
        <v>77</v>
      </c>
      <c r="G15" s="163">
        <v>3</v>
      </c>
      <c r="H15" s="111" t="s">
        <v>264</v>
      </c>
      <c r="I15" s="103" t="s">
        <v>80</v>
      </c>
      <c r="J15" s="164"/>
      <c r="K15" s="104">
        <v>202950</v>
      </c>
      <c r="L15" s="81"/>
      <c r="M15" s="96"/>
      <c r="N15" s="104"/>
      <c r="O15" s="104"/>
      <c r="P15" s="96">
        <f t="shared" si="0"/>
        <v>202950</v>
      </c>
      <c r="Q15" s="241" t="s">
        <v>92</v>
      </c>
      <c r="R15" s="33" t="s">
        <v>206</v>
      </c>
      <c r="S15" s="9">
        <f>K15*0.01</f>
        <v>2029.5</v>
      </c>
    </row>
    <row r="16" spans="1:19" ht="65.25" customHeight="1" x14ac:dyDescent="0.25">
      <c r="A16" s="103" t="s">
        <v>57</v>
      </c>
      <c r="B16" s="106" t="s">
        <v>115</v>
      </c>
      <c r="C16" s="125" t="s">
        <v>56</v>
      </c>
      <c r="D16" s="73" t="s">
        <v>74</v>
      </c>
      <c r="E16" s="73" t="s">
        <v>75</v>
      </c>
      <c r="F16" s="74" t="s">
        <v>77</v>
      </c>
      <c r="G16" s="110">
        <v>3</v>
      </c>
      <c r="H16" s="111" t="s">
        <v>260</v>
      </c>
      <c r="I16" s="73" t="s">
        <v>80</v>
      </c>
      <c r="J16" s="164">
        <v>0</v>
      </c>
      <c r="K16" s="104"/>
      <c r="L16" s="81">
        <v>0</v>
      </c>
      <c r="M16" s="96"/>
      <c r="N16" s="104"/>
      <c r="O16" s="104"/>
      <c r="P16" s="96">
        <f t="shared" si="0"/>
        <v>0</v>
      </c>
      <c r="Q16" s="241" t="s">
        <v>106</v>
      </c>
      <c r="R16" s="9" t="s">
        <v>104</v>
      </c>
    </row>
    <row r="17" spans="1:21" ht="87.75" customHeight="1" x14ac:dyDescent="0.25">
      <c r="A17" s="103" t="s">
        <v>103</v>
      </c>
      <c r="B17" s="106" t="s">
        <v>34</v>
      </c>
      <c r="C17" s="125" t="s">
        <v>56</v>
      </c>
      <c r="D17" s="103" t="s">
        <v>74</v>
      </c>
      <c r="E17" s="103" t="s">
        <v>27</v>
      </c>
      <c r="F17" s="162" t="s">
        <v>77</v>
      </c>
      <c r="G17" s="163">
        <v>3</v>
      </c>
      <c r="H17" s="111" t="s">
        <v>265</v>
      </c>
      <c r="I17" s="103" t="s">
        <v>80</v>
      </c>
      <c r="J17" s="164">
        <f>300+62924</f>
        <v>63224</v>
      </c>
      <c r="K17" s="104"/>
      <c r="L17" s="81">
        <v>0</v>
      </c>
      <c r="M17" s="96"/>
      <c r="N17" s="104"/>
      <c r="O17" s="104"/>
      <c r="P17" s="96">
        <f t="shared" si="0"/>
        <v>63224</v>
      </c>
      <c r="Q17" s="241" t="s">
        <v>93</v>
      </c>
      <c r="R17" s="9">
        <f>J17*0.01</f>
        <v>632.24</v>
      </c>
      <c r="S17" s="9">
        <f>K17*0.01</f>
        <v>0</v>
      </c>
      <c r="T17" s="593" t="s">
        <v>155</v>
      </c>
      <c r="U17" s="593"/>
    </row>
    <row r="18" spans="1:21" s="33" customFormat="1" ht="193.5" customHeight="1" x14ac:dyDescent="0.25">
      <c r="A18" s="103" t="s">
        <v>160</v>
      </c>
      <c r="B18" s="260" t="s">
        <v>207</v>
      </c>
      <c r="C18" s="125" t="s">
        <v>56</v>
      </c>
      <c r="D18" s="103" t="s">
        <v>74</v>
      </c>
      <c r="E18" s="103" t="s">
        <v>75</v>
      </c>
      <c r="F18" s="162" t="s">
        <v>77</v>
      </c>
      <c r="G18" s="163">
        <v>3</v>
      </c>
      <c r="H18" s="111" t="s">
        <v>266</v>
      </c>
      <c r="I18" s="103" t="s">
        <v>80</v>
      </c>
      <c r="J18" s="164"/>
      <c r="K18" s="104">
        <v>2050</v>
      </c>
      <c r="L18" s="81"/>
      <c r="M18" s="96"/>
      <c r="N18" s="104"/>
      <c r="O18" s="104"/>
      <c r="P18" s="96">
        <f t="shared" si="0"/>
        <v>2050</v>
      </c>
      <c r="Q18" s="241" t="s">
        <v>92</v>
      </c>
      <c r="R18" s="33" t="s">
        <v>208</v>
      </c>
      <c r="S18" s="33">
        <f>K18*0.01</f>
        <v>20.5</v>
      </c>
    </row>
    <row r="19" spans="1:21" s="33" customFormat="1" ht="87.75" customHeight="1" x14ac:dyDescent="0.25">
      <c r="A19" s="103" t="s">
        <v>173</v>
      </c>
      <c r="B19" s="106" t="s">
        <v>34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267</v>
      </c>
      <c r="I19" s="103" t="s">
        <v>80</v>
      </c>
      <c r="J19" s="164"/>
      <c r="K19" s="104">
        <v>54000</v>
      </c>
      <c r="L19" s="81">
        <v>0</v>
      </c>
      <c r="M19" s="96"/>
      <c r="N19" s="104"/>
      <c r="O19" s="104"/>
      <c r="P19" s="96">
        <f t="shared" si="0"/>
        <v>54000</v>
      </c>
      <c r="Q19" s="241" t="s">
        <v>93</v>
      </c>
      <c r="R19" s="33" t="s">
        <v>215</v>
      </c>
      <c r="T19" s="593"/>
      <c r="U19" s="593"/>
    </row>
    <row r="20" spans="1:21" s="33" customFormat="1" ht="87.75" customHeight="1" x14ac:dyDescent="0.25">
      <c r="A20" s="103" t="s">
        <v>197</v>
      </c>
      <c r="B20" s="261" t="s">
        <v>216</v>
      </c>
      <c r="C20" s="125" t="s">
        <v>56</v>
      </c>
      <c r="D20" s="103" t="s">
        <v>74</v>
      </c>
      <c r="E20" s="103" t="s">
        <v>27</v>
      </c>
      <c r="F20" s="162" t="s">
        <v>77</v>
      </c>
      <c r="G20" s="163">
        <v>3</v>
      </c>
      <c r="H20" s="111" t="s">
        <v>265</v>
      </c>
      <c r="I20" s="103" t="s">
        <v>80</v>
      </c>
      <c r="J20" s="164"/>
      <c r="K20" s="104">
        <v>546</v>
      </c>
      <c r="L20" s="81">
        <v>0</v>
      </c>
      <c r="M20" s="96"/>
      <c r="N20" s="104"/>
      <c r="O20" s="104"/>
      <c r="P20" s="96">
        <f t="shared" si="0"/>
        <v>546</v>
      </c>
      <c r="Q20" s="241" t="s">
        <v>93</v>
      </c>
      <c r="R20" s="33" t="s">
        <v>215</v>
      </c>
      <c r="T20" s="593"/>
      <c r="U20" s="593"/>
    </row>
    <row r="21" spans="1:21" s="52" customFormat="1" ht="210.75" customHeight="1" x14ac:dyDescent="0.25">
      <c r="A21" s="103" t="s">
        <v>231</v>
      </c>
      <c r="B21" s="161" t="s">
        <v>285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284</v>
      </c>
      <c r="I21" s="103" t="s">
        <v>80</v>
      </c>
      <c r="J21" s="164"/>
      <c r="K21" s="104"/>
      <c r="L21" s="96">
        <v>35360</v>
      </c>
      <c r="M21" s="96"/>
      <c r="N21" s="104"/>
      <c r="O21" s="104"/>
      <c r="P21" s="96">
        <f t="shared" si="0"/>
        <v>35360</v>
      </c>
      <c r="Q21" s="241"/>
      <c r="T21" s="53"/>
      <c r="U21" s="53"/>
    </row>
    <row r="22" spans="1:21" s="52" customFormat="1" ht="222.75" customHeight="1" x14ac:dyDescent="0.25">
      <c r="A22" s="103" t="s">
        <v>279</v>
      </c>
      <c r="B22" s="161" t="s">
        <v>286</v>
      </c>
      <c r="C22" s="125" t="s">
        <v>56</v>
      </c>
      <c r="D22" s="103" t="s">
        <v>74</v>
      </c>
      <c r="E22" s="103" t="s">
        <v>75</v>
      </c>
      <c r="F22" s="162" t="s">
        <v>77</v>
      </c>
      <c r="G22" s="163">
        <v>3</v>
      </c>
      <c r="H22" s="111" t="s">
        <v>288</v>
      </c>
      <c r="I22" s="103" t="s">
        <v>80</v>
      </c>
      <c r="J22" s="164"/>
      <c r="K22" s="104"/>
      <c r="L22" s="96">
        <v>721.7</v>
      </c>
      <c r="M22" s="96"/>
      <c r="N22" s="104"/>
      <c r="O22" s="104"/>
      <c r="P22" s="96">
        <f t="shared" si="0"/>
        <v>721.7</v>
      </c>
      <c r="Q22" s="241"/>
      <c r="T22" s="53"/>
      <c r="U22" s="53"/>
    </row>
    <row r="23" spans="1:21" ht="30.75" customHeight="1" x14ac:dyDescent="0.25">
      <c r="A23" s="243"/>
      <c r="B23" s="244" t="s">
        <v>15</v>
      </c>
      <c r="C23" s="245"/>
      <c r="D23" s="244"/>
      <c r="E23" s="244"/>
      <c r="F23" s="246"/>
      <c r="G23" s="247"/>
      <c r="H23" s="248"/>
      <c r="I23" s="244"/>
      <c r="J23" s="249">
        <f>SUM(J9:J17)</f>
        <v>9401121.9199999999</v>
      </c>
      <c r="K23" s="249">
        <f>SUM(K9:K20)</f>
        <v>10366003.889999997</v>
      </c>
      <c r="L23" s="249">
        <f>SUM(L9:L22)</f>
        <v>10796286.269999998</v>
      </c>
      <c r="M23" s="249">
        <f>SUM(M9:M17)</f>
        <v>11166840.720000001</v>
      </c>
      <c r="N23" s="249">
        <f>SUM(N9:N17)</f>
        <v>10451508.17</v>
      </c>
      <c r="O23" s="249">
        <f>SUM(O9:O17)</f>
        <v>10451508.17</v>
      </c>
      <c r="P23" s="249">
        <f>J23+K23+L23+M23+N23+O23</f>
        <v>62633269.139999993</v>
      </c>
      <c r="Q23" s="245"/>
      <c r="R23" s="8"/>
    </row>
    <row r="24" spans="1:21" ht="21" customHeight="1" x14ac:dyDescent="0.25">
      <c r="A24" s="258" t="s">
        <v>16</v>
      </c>
      <c r="B24" s="599" t="s">
        <v>35</v>
      </c>
      <c r="C24" s="600"/>
      <c r="D24" s="600"/>
      <c r="E24" s="600"/>
      <c r="F24" s="600"/>
      <c r="G24" s="600"/>
      <c r="H24" s="600"/>
      <c r="I24" s="600"/>
      <c r="J24" s="600"/>
      <c r="K24" s="600"/>
      <c r="L24" s="600"/>
      <c r="M24" s="600"/>
      <c r="N24" s="600"/>
      <c r="O24" s="600"/>
      <c r="P24" s="601"/>
      <c r="Q24" s="262"/>
    </row>
    <row r="25" spans="1:21" ht="167.25" customHeight="1" x14ac:dyDescent="0.3">
      <c r="A25" s="263" t="s">
        <v>17</v>
      </c>
      <c r="B25" s="161" t="s">
        <v>36</v>
      </c>
      <c r="C25" s="106" t="s">
        <v>56</v>
      </c>
      <c r="D25" s="103"/>
      <c r="E25" s="103"/>
      <c r="F25" s="162"/>
      <c r="G25" s="163"/>
      <c r="H25" s="79"/>
      <c r="I25" s="103"/>
      <c r="J25" s="174"/>
      <c r="K25" s="174"/>
      <c r="L25" s="174"/>
      <c r="M25" s="314"/>
      <c r="N25" s="174"/>
      <c r="O25" s="174"/>
      <c r="P25" s="174">
        <f>SUM(J25:L25)</f>
        <v>0</v>
      </c>
      <c r="Q25" s="241" t="s">
        <v>94</v>
      </c>
      <c r="R25" s="15"/>
    </row>
    <row r="26" spans="1:21" ht="27" customHeight="1" x14ac:dyDescent="0.25">
      <c r="A26" s="243"/>
      <c r="B26" s="244" t="s">
        <v>18</v>
      </c>
      <c r="C26" s="245"/>
      <c r="D26" s="244"/>
      <c r="E26" s="244"/>
      <c r="F26" s="246"/>
      <c r="G26" s="247"/>
      <c r="H26" s="248"/>
      <c r="I26" s="244"/>
      <c r="J26" s="264">
        <f>SUM(J25:J25)</f>
        <v>0</v>
      </c>
      <c r="K26" s="264">
        <f>SUM(K25:K25)</f>
        <v>0</v>
      </c>
      <c r="L26" s="264">
        <f>SUM(L25:L25)</f>
        <v>0</v>
      </c>
      <c r="M26" s="264">
        <f t="shared" ref="M26:N26" si="1">SUM(M25:M25)</f>
        <v>0</v>
      </c>
      <c r="N26" s="264">
        <f t="shared" si="1"/>
        <v>0</v>
      </c>
      <c r="O26" s="264"/>
      <c r="P26" s="264">
        <f>SUM(P25:P25)</f>
        <v>0</v>
      </c>
      <c r="Q26" s="245"/>
      <c r="R26" s="8"/>
    </row>
    <row r="27" spans="1:21" ht="22.5" customHeight="1" x14ac:dyDescent="0.25">
      <c r="A27" s="258" t="s">
        <v>19</v>
      </c>
      <c r="B27" s="599" t="s">
        <v>37</v>
      </c>
      <c r="C27" s="600"/>
      <c r="D27" s="600"/>
      <c r="E27" s="600"/>
      <c r="F27" s="600"/>
      <c r="G27" s="600"/>
      <c r="H27" s="600"/>
      <c r="I27" s="600"/>
      <c r="J27" s="600"/>
      <c r="K27" s="600"/>
      <c r="L27" s="600"/>
      <c r="M27" s="600"/>
      <c r="N27" s="600"/>
      <c r="O27" s="600"/>
      <c r="P27" s="601"/>
      <c r="Q27" s="262"/>
    </row>
    <row r="28" spans="1:21" ht="39.75" customHeight="1" x14ac:dyDescent="0.3">
      <c r="A28" s="474" t="s">
        <v>20</v>
      </c>
      <c r="B28" s="556" t="s">
        <v>131</v>
      </c>
      <c r="C28" s="106" t="s">
        <v>56</v>
      </c>
      <c r="D28" s="103" t="s">
        <v>74</v>
      </c>
      <c r="E28" s="103" t="s">
        <v>27</v>
      </c>
      <c r="F28" s="162" t="s">
        <v>77</v>
      </c>
      <c r="G28" s="163">
        <v>3</v>
      </c>
      <c r="H28" s="111" t="s">
        <v>268</v>
      </c>
      <c r="I28" s="103" t="s">
        <v>80</v>
      </c>
      <c r="J28" s="251">
        <f>16000+4000</f>
        <v>20000</v>
      </c>
      <c r="K28" s="136">
        <v>0</v>
      </c>
      <c r="L28" s="136">
        <v>0</v>
      </c>
      <c r="M28" s="303">
        <v>0</v>
      </c>
      <c r="N28" s="136">
        <v>0</v>
      </c>
      <c r="O28" s="136"/>
      <c r="P28" s="136">
        <f t="shared" ref="P28:P33" si="2">SUM(J28:M28)</f>
        <v>20000</v>
      </c>
      <c r="Q28" s="573" t="s">
        <v>89</v>
      </c>
      <c r="R28" s="16" t="s">
        <v>101</v>
      </c>
    </row>
    <row r="29" spans="1:21" ht="39.75" customHeight="1" x14ac:dyDescent="0.3">
      <c r="A29" s="475"/>
      <c r="B29" s="557"/>
      <c r="C29" s="106" t="s">
        <v>56</v>
      </c>
      <c r="D29" s="99" t="s">
        <v>74</v>
      </c>
      <c r="E29" s="100" t="s">
        <v>27</v>
      </c>
      <c r="F29" s="101" t="s">
        <v>77</v>
      </c>
      <c r="G29" s="102">
        <v>3</v>
      </c>
      <c r="H29" s="111" t="s">
        <v>268</v>
      </c>
      <c r="I29" s="103" t="s">
        <v>28</v>
      </c>
      <c r="J29" s="251">
        <f>15000+3880</f>
        <v>18880</v>
      </c>
      <c r="K29" s="136">
        <v>0</v>
      </c>
      <c r="L29" s="136">
        <v>0</v>
      </c>
      <c r="M29" s="303">
        <v>0</v>
      </c>
      <c r="N29" s="136">
        <v>0</v>
      </c>
      <c r="O29" s="136"/>
      <c r="P29" s="136">
        <f t="shared" si="2"/>
        <v>18880</v>
      </c>
      <c r="Q29" s="575"/>
      <c r="R29" s="16" t="s">
        <v>100</v>
      </c>
    </row>
    <row r="30" spans="1:21" ht="62.25" customHeight="1" x14ac:dyDescent="0.3">
      <c r="A30" s="474" t="s">
        <v>98</v>
      </c>
      <c r="B30" s="556" t="s">
        <v>116</v>
      </c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1" t="s">
        <v>269</v>
      </c>
      <c r="I30" s="73" t="s">
        <v>80</v>
      </c>
      <c r="J30" s="251">
        <v>90000</v>
      </c>
      <c r="K30" s="136">
        <v>0</v>
      </c>
      <c r="L30" s="136">
        <v>0</v>
      </c>
      <c r="M30" s="303">
        <v>0</v>
      </c>
      <c r="N30" s="136">
        <v>0</v>
      </c>
      <c r="O30" s="136"/>
      <c r="P30" s="136">
        <f t="shared" si="2"/>
        <v>90000</v>
      </c>
      <c r="Q30" s="573" t="s">
        <v>107</v>
      </c>
      <c r="R30" s="16" t="s">
        <v>101</v>
      </c>
    </row>
    <row r="31" spans="1:21" ht="64.5" customHeight="1" x14ac:dyDescent="0.3">
      <c r="A31" s="475"/>
      <c r="B31" s="557"/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269</v>
      </c>
      <c r="I31" s="73" t="s">
        <v>28</v>
      </c>
      <c r="J31" s="251">
        <v>0</v>
      </c>
      <c r="K31" s="136">
        <v>0</v>
      </c>
      <c r="L31" s="136">
        <v>0</v>
      </c>
      <c r="M31" s="303">
        <v>0</v>
      </c>
      <c r="N31" s="136">
        <v>0</v>
      </c>
      <c r="O31" s="136"/>
      <c r="P31" s="136">
        <f t="shared" si="2"/>
        <v>0</v>
      </c>
      <c r="Q31" s="575"/>
      <c r="R31" s="16" t="s">
        <v>100</v>
      </c>
    </row>
    <row r="32" spans="1:21" ht="43.5" customHeight="1" x14ac:dyDescent="0.3">
      <c r="A32" s="474" t="s">
        <v>134</v>
      </c>
      <c r="B32" s="556" t="s">
        <v>132</v>
      </c>
      <c r="C32" s="106" t="s">
        <v>56</v>
      </c>
      <c r="D32" s="92" t="s">
        <v>74</v>
      </c>
      <c r="E32" s="93" t="s">
        <v>27</v>
      </c>
      <c r="F32" s="94" t="s">
        <v>77</v>
      </c>
      <c r="G32" s="95">
        <v>3</v>
      </c>
      <c r="H32" s="114" t="s">
        <v>270</v>
      </c>
      <c r="I32" s="73" t="s">
        <v>28</v>
      </c>
      <c r="J32" s="251">
        <v>75500</v>
      </c>
      <c r="K32" s="136">
        <v>0</v>
      </c>
      <c r="L32" s="136">
        <v>0</v>
      </c>
      <c r="M32" s="303">
        <v>0</v>
      </c>
      <c r="N32" s="136">
        <v>0</v>
      </c>
      <c r="O32" s="136"/>
      <c r="P32" s="136">
        <f t="shared" si="2"/>
        <v>75500</v>
      </c>
      <c r="Q32" s="236"/>
      <c r="R32" s="16" t="s">
        <v>100</v>
      </c>
    </row>
    <row r="33" spans="1:19" ht="38.25" customHeight="1" x14ac:dyDescent="0.3">
      <c r="A33" s="475"/>
      <c r="B33" s="557"/>
      <c r="C33" s="213" t="s">
        <v>56</v>
      </c>
      <c r="D33" s="239" t="s">
        <v>74</v>
      </c>
      <c r="E33" s="239" t="s">
        <v>27</v>
      </c>
      <c r="F33" s="240" t="s">
        <v>77</v>
      </c>
      <c r="G33" s="265">
        <v>3</v>
      </c>
      <c r="H33" s="239" t="s">
        <v>270</v>
      </c>
      <c r="I33" s="239" t="s">
        <v>80</v>
      </c>
      <c r="J33" s="251">
        <v>80000</v>
      </c>
      <c r="K33" s="136">
        <v>0</v>
      </c>
      <c r="L33" s="136">
        <v>0</v>
      </c>
      <c r="M33" s="303">
        <v>0</v>
      </c>
      <c r="N33" s="136">
        <v>0</v>
      </c>
      <c r="O33" s="136"/>
      <c r="P33" s="136">
        <f t="shared" si="2"/>
        <v>80000</v>
      </c>
      <c r="Q33" s="236"/>
      <c r="R33" s="16" t="s">
        <v>101</v>
      </c>
    </row>
    <row r="34" spans="1:19" ht="93.75" customHeight="1" x14ac:dyDescent="0.3">
      <c r="A34" s="263" t="s">
        <v>133</v>
      </c>
      <c r="B34" s="266" t="s">
        <v>117</v>
      </c>
      <c r="C34" s="106" t="s">
        <v>56</v>
      </c>
      <c r="D34" s="92" t="s">
        <v>74</v>
      </c>
      <c r="E34" s="93" t="s">
        <v>26</v>
      </c>
      <c r="F34" s="94" t="s">
        <v>77</v>
      </c>
      <c r="G34" s="95">
        <v>3</v>
      </c>
      <c r="H34" s="111" t="s">
        <v>271</v>
      </c>
      <c r="I34" s="73" t="s">
        <v>28</v>
      </c>
      <c r="J34" s="251">
        <v>250000</v>
      </c>
      <c r="K34" s="136">
        <f>250000-20000</f>
        <v>230000</v>
      </c>
      <c r="L34" s="136">
        <f>124500+20000</f>
        <v>144500</v>
      </c>
      <c r="M34" s="303">
        <v>167200</v>
      </c>
      <c r="N34" s="136">
        <f>M34</f>
        <v>167200</v>
      </c>
      <c r="O34" s="136">
        <f>N34</f>
        <v>167200</v>
      </c>
      <c r="P34" s="136">
        <f>SUM(J34:O34)</f>
        <v>1126100</v>
      </c>
      <c r="Q34" s="236"/>
      <c r="R34" s="16" t="s">
        <v>102</v>
      </c>
    </row>
    <row r="35" spans="1:19" ht="27.75" customHeight="1" x14ac:dyDescent="0.25">
      <c r="A35" s="243"/>
      <c r="B35" s="244" t="s">
        <v>21</v>
      </c>
      <c r="C35" s="245"/>
      <c r="D35" s="244"/>
      <c r="E35" s="244"/>
      <c r="F35" s="246"/>
      <c r="G35" s="247"/>
      <c r="H35" s="248"/>
      <c r="I35" s="244"/>
      <c r="J35" s="257">
        <f>SUM(J28:J34)</f>
        <v>534380</v>
      </c>
      <c r="K35" s="257">
        <f t="shared" ref="K35:O35" si="3">SUM(K28:K34)</f>
        <v>230000</v>
      </c>
      <c r="L35" s="257">
        <f t="shared" si="3"/>
        <v>144500</v>
      </c>
      <c r="M35" s="328">
        <f t="shared" si="3"/>
        <v>167200</v>
      </c>
      <c r="N35" s="257">
        <f t="shared" si="3"/>
        <v>167200</v>
      </c>
      <c r="O35" s="257">
        <f t="shared" si="3"/>
        <v>167200</v>
      </c>
      <c r="P35" s="257">
        <f>SUM(P28:P34)</f>
        <v>1410480</v>
      </c>
      <c r="Q35" s="245"/>
      <c r="R35" s="8"/>
    </row>
    <row r="36" spans="1:19" ht="23.25" customHeight="1" x14ac:dyDescent="0.25">
      <c r="A36" s="258" t="s">
        <v>22</v>
      </c>
      <c r="B36" s="599" t="s">
        <v>38</v>
      </c>
      <c r="C36" s="600"/>
      <c r="D36" s="600"/>
      <c r="E36" s="600"/>
      <c r="F36" s="600"/>
      <c r="G36" s="600"/>
      <c r="H36" s="600"/>
      <c r="I36" s="600"/>
      <c r="J36" s="600"/>
      <c r="K36" s="600"/>
      <c r="L36" s="600"/>
      <c r="M36" s="600"/>
      <c r="N36" s="600"/>
      <c r="O36" s="600"/>
      <c r="P36" s="601"/>
      <c r="Q36" s="267"/>
    </row>
    <row r="37" spans="1:19" ht="70.5" customHeight="1" x14ac:dyDescent="0.25">
      <c r="A37" s="474" t="s">
        <v>31</v>
      </c>
      <c r="B37" s="556" t="s">
        <v>135</v>
      </c>
      <c r="C37" s="472" t="s">
        <v>56</v>
      </c>
      <c r="D37" s="73" t="s">
        <v>74</v>
      </c>
      <c r="E37" s="73" t="s">
        <v>75</v>
      </c>
      <c r="F37" s="74" t="s">
        <v>77</v>
      </c>
      <c r="G37" s="110">
        <v>3</v>
      </c>
      <c r="H37" s="79" t="s">
        <v>250</v>
      </c>
      <c r="I37" s="73" t="s">
        <v>80</v>
      </c>
      <c r="J37" s="268">
        <v>60000</v>
      </c>
      <c r="K37" s="174">
        <v>0</v>
      </c>
      <c r="L37" s="174">
        <v>0</v>
      </c>
      <c r="M37" s="314"/>
      <c r="N37" s="174"/>
      <c r="O37" s="174"/>
      <c r="P37" s="174">
        <f>SUM(J37:M37)</f>
        <v>60000</v>
      </c>
      <c r="Q37" s="573" t="s">
        <v>105</v>
      </c>
      <c r="R37" s="9" t="s">
        <v>104</v>
      </c>
    </row>
    <row r="38" spans="1:19" ht="75" customHeight="1" x14ac:dyDescent="0.25">
      <c r="A38" s="579"/>
      <c r="B38" s="592"/>
      <c r="C38" s="598"/>
      <c r="D38" s="73" t="s">
        <v>74</v>
      </c>
      <c r="E38" s="73" t="s">
        <v>27</v>
      </c>
      <c r="F38" s="74" t="s">
        <v>77</v>
      </c>
      <c r="G38" s="110">
        <v>3</v>
      </c>
      <c r="H38" s="79" t="s">
        <v>250</v>
      </c>
      <c r="I38" s="73" t="s">
        <v>80</v>
      </c>
      <c r="J38" s="268">
        <f>90000+60000-50000</f>
        <v>100000</v>
      </c>
      <c r="K38" s="174">
        <f>400000+37559</f>
        <v>437559</v>
      </c>
      <c r="L38" s="174">
        <v>0</v>
      </c>
      <c r="M38" s="314">
        <f>234700</f>
        <v>234700</v>
      </c>
      <c r="N38" s="174"/>
      <c r="O38" s="174"/>
      <c r="P38" s="174">
        <f>SUM(J38:O38)</f>
        <v>772259</v>
      </c>
      <c r="Q38" s="574"/>
      <c r="R38" s="28" t="s">
        <v>179</v>
      </c>
    </row>
    <row r="39" spans="1:19" ht="141.75" customHeight="1" x14ac:dyDescent="0.25">
      <c r="A39" s="103" t="s">
        <v>39</v>
      </c>
      <c r="B39" s="125" t="s">
        <v>61</v>
      </c>
      <c r="C39" s="98" t="s">
        <v>56</v>
      </c>
      <c r="D39" s="103"/>
      <c r="E39" s="103"/>
      <c r="F39" s="162"/>
      <c r="G39" s="163"/>
      <c r="H39" s="79"/>
      <c r="I39" s="103"/>
      <c r="J39" s="268"/>
      <c r="K39" s="174"/>
      <c r="L39" s="174"/>
      <c r="M39" s="314"/>
      <c r="N39" s="174"/>
      <c r="O39" s="174"/>
      <c r="P39" s="174">
        <f t="shared" ref="P39:P40" si="4">SUM(J39:L39)</f>
        <v>0</v>
      </c>
      <c r="Q39" s="269" t="s">
        <v>90</v>
      </c>
      <c r="R39" s="9">
        <f>J39*0.2</f>
        <v>0</v>
      </c>
      <c r="S39" s="9">
        <f>K39*0.2</f>
        <v>0</v>
      </c>
    </row>
    <row r="40" spans="1:19" ht="110.25" customHeight="1" x14ac:dyDescent="0.25">
      <c r="A40" s="103" t="s">
        <v>40</v>
      </c>
      <c r="B40" s="125" t="s">
        <v>62</v>
      </c>
      <c r="C40" s="98" t="s">
        <v>56</v>
      </c>
      <c r="D40" s="103"/>
      <c r="E40" s="103"/>
      <c r="F40" s="162"/>
      <c r="G40" s="163"/>
      <c r="H40" s="79"/>
      <c r="I40" s="103"/>
      <c r="J40" s="268"/>
      <c r="K40" s="174"/>
      <c r="L40" s="174"/>
      <c r="M40" s="314"/>
      <c r="N40" s="174"/>
      <c r="O40" s="174"/>
      <c r="P40" s="174">
        <f t="shared" si="4"/>
        <v>0</v>
      </c>
      <c r="Q40" s="241"/>
      <c r="R40" s="9">
        <f>J40*0.2</f>
        <v>0</v>
      </c>
      <c r="S40" s="9">
        <f>K40*0.2</f>
        <v>0</v>
      </c>
    </row>
    <row r="41" spans="1:19" ht="46.2" customHeight="1" x14ac:dyDescent="0.25">
      <c r="A41" s="474" t="s">
        <v>41</v>
      </c>
      <c r="B41" s="602" t="s">
        <v>136</v>
      </c>
      <c r="C41" s="98" t="s">
        <v>56</v>
      </c>
      <c r="D41" s="73" t="s">
        <v>74</v>
      </c>
      <c r="E41" s="73" t="s">
        <v>27</v>
      </c>
      <c r="F41" s="74" t="s">
        <v>77</v>
      </c>
      <c r="G41" s="110">
        <v>3</v>
      </c>
      <c r="H41" s="79" t="s">
        <v>251</v>
      </c>
      <c r="I41" s="73" t="s">
        <v>28</v>
      </c>
      <c r="J41" s="251">
        <f>200000+20000+58031.49</f>
        <v>278031.49</v>
      </c>
      <c r="K41" s="174">
        <v>0</v>
      </c>
      <c r="L41" s="172">
        <v>161002.39000000001</v>
      </c>
      <c r="M41" s="314"/>
      <c r="N41" s="174"/>
      <c r="O41" s="174"/>
      <c r="P41" s="136">
        <f t="shared" ref="P41:P51" si="5">SUM(J41:M41)</f>
        <v>439033.88</v>
      </c>
      <c r="Q41" s="270" t="s">
        <v>146</v>
      </c>
      <c r="R41" s="9" t="s">
        <v>100</v>
      </c>
    </row>
    <row r="42" spans="1:19" ht="49.2" customHeight="1" x14ac:dyDescent="0.25">
      <c r="A42" s="579"/>
      <c r="B42" s="603"/>
      <c r="C42" s="98" t="s">
        <v>56</v>
      </c>
      <c r="D42" s="73" t="s">
        <v>74</v>
      </c>
      <c r="E42" s="73" t="s">
        <v>75</v>
      </c>
      <c r="F42" s="74" t="s">
        <v>77</v>
      </c>
      <c r="G42" s="110">
        <v>3</v>
      </c>
      <c r="H42" s="79" t="s">
        <v>251</v>
      </c>
      <c r="I42" s="73" t="s">
        <v>80</v>
      </c>
      <c r="J42" s="251"/>
      <c r="K42" s="174">
        <v>300000</v>
      </c>
      <c r="L42" s="172">
        <v>0</v>
      </c>
      <c r="M42" s="313">
        <v>183110.42</v>
      </c>
      <c r="N42" s="174"/>
      <c r="O42" s="174"/>
      <c r="P42" s="136">
        <f>SUM(J42:M42)</f>
        <v>483110.42000000004</v>
      </c>
      <c r="Q42" s="271" t="s">
        <v>108</v>
      </c>
    </row>
    <row r="43" spans="1:19" ht="66.75" customHeight="1" x14ac:dyDescent="0.25">
      <c r="A43" s="475"/>
      <c r="B43" s="603"/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80</v>
      </c>
      <c r="J43" s="251">
        <f>700000+300000+163915.45+50000</f>
        <v>1213915.45</v>
      </c>
      <c r="K43" s="173">
        <f>329682.99+1000000+133252.22</f>
        <v>1462935.21</v>
      </c>
      <c r="L43" s="172">
        <v>178632.07</v>
      </c>
      <c r="M43" s="313">
        <v>182933.59</v>
      </c>
      <c r="N43" s="174"/>
      <c r="O43" s="174"/>
      <c r="P43" s="136">
        <f>SUM(J43:M43)</f>
        <v>3038416.32</v>
      </c>
      <c r="Q43" s="271" t="s">
        <v>108</v>
      </c>
      <c r="R43" s="29" t="s">
        <v>182</v>
      </c>
    </row>
    <row r="44" spans="1:19" s="27" customFormat="1" ht="66.75" customHeight="1" x14ac:dyDescent="0.25">
      <c r="A44" s="272"/>
      <c r="B44" s="603"/>
      <c r="C44" s="98" t="s">
        <v>56</v>
      </c>
      <c r="D44" s="73" t="s">
        <v>74</v>
      </c>
      <c r="E44" s="73" t="s">
        <v>27</v>
      </c>
      <c r="F44" s="74" t="s">
        <v>77</v>
      </c>
      <c r="G44" s="110">
        <v>3</v>
      </c>
      <c r="H44" s="79" t="s">
        <v>251</v>
      </c>
      <c r="I44" s="73" t="s">
        <v>175</v>
      </c>
      <c r="J44" s="273"/>
      <c r="K44" s="136">
        <f>57251.54</f>
        <v>57251.54</v>
      </c>
      <c r="L44" s="133"/>
      <c r="M44" s="314"/>
      <c r="N44" s="174"/>
      <c r="O44" s="174"/>
      <c r="P44" s="136">
        <f t="shared" ref="P44:P46" si="6">SUM(J44:M44)</f>
        <v>57251.54</v>
      </c>
      <c r="Q44" s="271" t="s">
        <v>108</v>
      </c>
      <c r="R44" s="37" t="s">
        <v>233</v>
      </c>
    </row>
    <row r="45" spans="1:19" s="27" customFormat="1" ht="66.75" customHeight="1" x14ac:dyDescent="0.25">
      <c r="A45" s="272"/>
      <c r="B45" s="603"/>
      <c r="C45" s="98" t="s">
        <v>56</v>
      </c>
      <c r="D45" s="73" t="s">
        <v>74</v>
      </c>
      <c r="E45" s="73" t="s">
        <v>27</v>
      </c>
      <c r="F45" s="74" t="s">
        <v>77</v>
      </c>
      <c r="G45" s="110">
        <v>3</v>
      </c>
      <c r="H45" s="79" t="s">
        <v>251</v>
      </c>
      <c r="I45" s="73" t="s">
        <v>28</v>
      </c>
      <c r="J45" s="273"/>
      <c r="K45" s="136">
        <f>100784.28+2467.26-42136.11-15115.43</f>
        <v>45999.999999999993</v>
      </c>
      <c r="L45" s="174"/>
      <c r="M45" s="314"/>
      <c r="N45" s="174"/>
      <c r="O45" s="174"/>
      <c r="P45" s="136">
        <f t="shared" si="6"/>
        <v>45999.999999999993</v>
      </c>
      <c r="Q45" s="271" t="s">
        <v>108</v>
      </c>
    </row>
    <row r="46" spans="1:19" s="56" customFormat="1" ht="66.75" customHeight="1" x14ac:dyDescent="0.25">
      <c r="A46" s="373"/>
      <c r="B46" s="604"/>
      <c r="C46" s="98" t="s">
        <v>56</v>
      </c>
      <c r="D46" s="76" t="s">
        <v>74</v>
      </c>
      <c r="E46" s="76" t="s">
        <v>27</v>
      </c>
      <c r="F46" s="77" t="s">
        <v>77</v>
      </c>
      <c r="G46" s="78">
        <v>3</v>
      </c>
      <c r="H46" s="111" t="s">
        <v>299</v>
      </c>
      <c r="I46" s="76" t="s">
        <v>80</v>
      </c>
      <c r="J46" s="273"/>
      <c r="K46" s="136"/>
      <c r="L46" s="174">
        <v>600000</v>
      </c>
      <c r="M46" s="314"/>
      <c r="N46" s="174"/>
      <c r="O46" s="174"/>
      <c r="P46" s="136">
        <f t="shared" si="6"/>
        <v>600000</v>
      </c>
      <c r="Q46" s="271" t="s">
        <v>108</v>
      </c>
    </row>
    <row r="47" spans="1:19" ht="78.75" customHeight="1" x14ac:dyDescent="0.25">
      <c r="A47" s="103" t="s">
        <v>64</v>
      </c>
      <c r="B47" s="125" t="s">
        <v>135</v>
      </c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250</v>
      </c>
      <c r="I47" s="73" t="s">
        <v>28</v>
      </c>
      <c r="J47" s="268">
        <v>150000</v>
      </c>
      <c r="K47" s="174">
        <v>0</v>
      </c>
      <c r="L47" s="174">
        <v>0</v>
      </c>
      <c r="M47" s="314"/>
      <c r="N47" s="174"/>
      <c r="O47" s="174"/>
      <c r="P47" s="174">
        <f t="shared" si="5"/>
        <v>150000</v>
      </c>
      <c r="Q47" s="269" t="s">
        <v>110</v>
      </c>
      <c r="R47" s="9" t="s">
        <v>100</v>
      </c>
    </row>
    <row r="48" spans="1:19" ht="81.75" customHeight="1" x14ac:dyDescent="0.25">
      <c r="A48" s="103" t="s">
        <v>42</v>
      </c>
      <c r="B48" s="125" t="s">
        <v>118</v>
      </c>
      <c r="C48" s="98" t="s">
        <v>56</v>
      </c>
      <c r="D48" s="73" t="s">
        <v>74</v>
      </c>
      <c r="E48" s="73" t="s">
        <v>27</v>
      </c>
      <c r="F48" s="74" t="s">
        <v>77</v>
      </c>
      <c r="G48" s="110">
        <v>3</v>
      </c>
      <c r="H48" s="79" t="s">
        <v>272</v>
      </c>
      <c r="I48" s="73" t="s">
        <v>80</v>
      </c>
      <c r="J48" s="268">
        <v>90000</v>
      </c>
      <c r="K48" s="174">
        <v>0</v>
      </c>
      <c r="L48" s="174">
        <v>0</v>
      </c>
      <c r="M48" s="314"/>
      <c r="N48" s="174"/>
      <c r="O48" s="174"/>
      <c r="P48" s="174">
        <f t="shared" si="5"/>
        <v>90000</v>
      </c>
      <c r="Q48" s="241" t="s">
        <v>109</v>
      </c>
      <c r="R48" s="9" t="s">
        <v>0</v>
      </c>
    </row>
    <row r="49" spans="1:18" ht="132" customHeight="1" x14ac:dyDescent="0.25">
      <c r="A49" s="103" t="s">
        <v>69</v>
      </c>
      <c r="B49" s="125" t="s">
        <v>65</v>
      </c>
      <c r="C49" s="98" t="s">
        <v>56</v>
      </c>
      <c r="D49" s="103" t="s">
        <v>74</v>
      </c>
      <c r="E49" s="103" t="s">
        <v>27</v>
      </c>
      <c r="F49" s="162" t="s">
        <v>77</v>
      </c>
      <c r="G49" s="163">
        <v>3</v>
      </c>
      <c r="H49" s="79" t="s">
        <v>273</v>
      </c>
      <c r="I49" s="103" t="s">
        <v>80</v>
      </c>
      <c r="J49" s="268">
        <f>100000</f>
        <v>100000</v>
      </c>
      <c r="K49" s="174" t="s">
        <v>147</v>
      </c>
      <c r="L49" s="174" t="s">
        <v>147</v>
      </c>
      <c r="M49" s="314"/>
      <c r="N49" s="174"/>
      <c r="O49" s="174"/>
      <c r="P49" s="174">
        <f t="shared" si="5"/>
        <v>100000</v>
      </c>
      <c r="Q49" s="241" t="s">
        <v>91</v>
      </c>
    </row>
    <row r="50" spans="1:18" ht="133.5" customHeight="1" x14ac:dyDescent="0.25">
      <c r="A50" s="103" t="s">
        <v>70</v>
      </c>
      <c r="B50" s="117" t="s">
        <v>63</v>
      </c>
      <c r="C50" s="98"/>
      <c r="D50" s="103"/>
      <c r="E50" s="103"/>
      <c r="F50" s="162"/>
      <c r="G50" s="163"/>
      <c r="H50" s="79"/>
      <c r="I50" s="103"/>
      <c r="J50" s="268"/>
      <c r="K50" s="174"/>
      <c r="L50" s="174"/>
      <c r="M50" s="314"/>
      <c r="N50" s="174"/>
      <c r="O50" s="174"/>
      <c r="P50" s="174">
        <f t="shared" si="5"/>
        <v>0</v>
      </c>
      <c r="Q50" s="241" t="s">
        <v>95</v>
      </c>
    </row>
    <row r="51" spans="1:18" ht="221.25" customHeight="1" x14ac:dyDescent="0.25">
      <c r="A51" s="103" t="s">
        <v>149</v>
      </c>
      <c r="B51" s="125" t="s">
        <v>150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274</v>
      </c>
      <c r="I51" s="103" t="s">
        <v>28</v>
      </c>
      <c r="J51" s="268">
        <f>400000</f>
        <v>400000</v>
      </c>
      <c r="K51" s="174" t="s">
        <v>147</v>
      </c>
      <c r="L51" s="174" t="s">
        <v>147</v>
      </c>
      <c r="M51" s="314"/>
      <c r="N51" s="174"/>
      <c r="O51" s="174"/>
      <c r="P51" s="174">
        <f t="shared" si="5"/>
        <v>400000</v>
      </c>
      <c r="Q51" s="241" t="s">
        <v>91</v>
      </c>
    </row>
    <row r="52" spans="1:18" s="38" customFormat="1" ht="221.25" customHeight="1" x14ac:dyDescent="0.25">
      <c r="A52" s="103" t="s">
        <v>235</v>
      </c>
      <c r="B52" s="125" t="s">
        <v>238</v>
      </c>
      <c r="C52" s="98" t="s">
        <v>56</v>
      </c>
      <c r="D52" s="103" t="s">
        <v>74</v>
      </c>
      <c r="E52" s="103" t="s">
        <v>27</v>
      </c>
      <c r="F52" s="162" t="s">
        <v>77</v>
      </c>
      <c r="G52" s="163">
        <v>3</v>
      </c>
      <c r="H52" s="79" t="s">
        <v>275</v>
      </c>
      <c r="I52" s="103" t="s">
        <v>28</v>
      </c>
      <c r="J52" s="268"/>
      <c r="K52" s="173">
        <f>159831.56+231639.69</f>
        <v>391471.25</v>
      </c>
      <c r="L52" s="174"/>
      <c r="M52" s="314"/>
      <c r="N52" s="174"/>
      <c r="O52" s="174"/>
      <c r="P52" s="173">
        <f>K52+L52+M52</f>
        <v>391471.25</v>
      </c>
      <c r="Q52" s="241"/>
      <c r="R52" s="38" t="s">
        <v>239</v>
      </c>
    </row>
    <row r="53" spans="1:18" s="38" customFormat="1" ht="221.25" customHeight="1" x14ac:dyDescent="0.25">
      <c r="A53" s="103" t="s">
        <v>237</v>
      </c>
      <c r="B53" s="125" t="s">
        <v>238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275</v>
      </c>
      <c r="I53" s="103" t="s">
        <v>175</v>
      </c>
      <c r="J53" s="268"/>
      <c r="K53" s="174">
        <v>62503.7</v>
      </c>
      <c r="L53" s="174"/>
      <c r="M53" s="314"/>
      <c r="N53" s="174"/>
      <c r="O53" s="174"/>
      <c r="P53" s="174">
        <f>K53+L53+M53</f>
        <v>62503.7</v>
      </c>
      <c r="Q53" s="241"/>
      <c r="R53" s="38" t="s">
        <v>239</v>
      </c>
    </row>
    <row r="54" spans="1:18" s="38" customFormat="1" ht="221.25" customHeight="1" x14ac:dyDescent="0.25">
      <c r="A54" s="103" t="s">
        <v>236</v>
      </c>
      <c r="B54" s="125" t="s">
        <v>238</v>
      </c>
      <c r="C54" s="98" t="s">
        <v>56</v>
      </c>
      <c r="D54" s="103" t="s">
        <v>74</v>
      </c>
      <c r="E54" s="103" t="s">
        <v>27</v>
      </c>
      <c r="F54" s="162" t="s">
        <v>77</v>
      </c>
      <c r="G54" s="163">
        <v>3</v>
      </c>
      <c r="H54" s="79" t="s">
        <v>275</v>
      </c>
      <c r="I54" s="103" t="s">
        <v>80</v>
      </c>
      <c r="J54" s="268"/>
      <c r="K54" s="173">
        <f>43597.2+115370.63</f>
        <v>158967.83000000002</v>
      </c>
      <c r="L54" s="174"/>
      <c r="M54" s="314"/>
      <c r="N54" s="174"/>
      <c r="O54" s="174"/>
      <c r="P54" s="173">
        <f>K54+L54+M54</f>
        <v>158967.83000000002</v>
      </c>
      <c r="Q54" s="241"/>
      <c r="R54" s="38" t="s">
        <v>240</v>
      </c>
    </row>
    <row r="55" spans="1:18" s="56" customFormat="1" ht="221.25" customHeight="1" x14ac:dyDescent="0.25">
      <c r="A55" s="378" t="s">
        <v>301</v>
      </c>
      <c r="B55" s="384" t="s">
        <v>307</v>
      </c>
      <c r="C55" s="98" t="s">
        <v>56</v>
      </c>
      <c r="D55" s="378" t="s">
        <v>74</v>
      </c>
      <c r="E55" s="378" t="s">
        <v>27</v>
      </c>
      <c r="F55" s="162" t="s">
        <v>77</v>
      </c>
      <c r="G55" s="377">
        <v>3</v>
      </c>
      <c r="H55" s="79" t="s">
        <v>302</v>
      </c>
      <c r="I55" s="378" t="s">
        <v>28</v>
      </c>
      <c r="J55" s="268"/>
      <c r="K55" s="173"/>
      <c r="L55" s="174"/>
      <c r="M55" s="314">
        <f>2093070-517253</f>
        <v>1575817</v>
      </c>
      <c r="N55" s="174"/>
      <c r="O55" s="174"/>
      <c r="P55" s="173">
        <f>K55+L55+M55</f>
        <v>1575817</v>
      </c>
      <c r="Q55" s="241"/>
    </row>
    <row r="56" spans="1:18" s="435" customFormat="1" ht="221.25" customHeight="1" x14ac:dyDescent="0.25">
      <c r="A56" s="426" t="s">
        <v>327</v>
      </c>
      <c r="B56" s="427" t="s">
        <v>329</v>
      </c>
      <c r="C56" s="428" t="s">
        <v>56</v>
      </c>
      <c r="D56" s="426" t="s">
        <v>74</v>
      </c>
      <c r="E56" s="426" t="s">
        <v>27</v>
      </c>
      <c r="F56" s="429" t="s">
        <v>77</v>
      </c>
      <c r="G56" s="430">
        <v>3</v>
      </c>
      <c r="H56" s="431" t="s">
        <v>335</v>
      </c>
      <c r="I56" s="426" t="s">
        <v>28</v>
      </c>
      <c r="J56" s="432"/>
      <c r="K56" s="433"/>
      <c r="L56" s="432"/>
      <c r="M56" s="433">
        <f>1871560.19+2083253.72-616601.37</f>
        <v>3338212.54</v>
      </c>
      <c r="N56" s="432"/>
      <c r="O56" s="432"/>
      <c r="P56" s="436">
        <f t="shared" ref="P56:P59" si="7">K56+L56+M56</f>
        <v>3338212.54</v>
      </c>
      <c r="Q56" s="434"/>
    </row>
    <row r="57" spans="1:18" s="435" customFormat="1" ht="221.25" customHeight="1" x14ac:dyDescent="0.25">
      <c r="A57" s="426" t="s">
        <v>328</v>
      </c>
      <c r="B57" s="427" t="s">
        <v>329</v>
      </c>
      <c r="C57" s="428" t="s">
        <v>56</v>
      </c>
      <c r="D57" s="426" t="s">
        <v>74</v>
      </c>
      <c r="E57" s="426" t="s">
        <v>27</v>
      </c>
      <c r="F57" s="429" t="s">
        <v>77</v>
      </c>
      <c r="G57" s="430">
        <v>3</v>
      </c>
      <c r="H57" s="431" t="s">
        <v>335</v>
      </c>
      <c r="I57" s="426" t="s">
        <v>175</v>
      </c>
      <c r="J57" s="432"/>
      <c r="K57" s="433"/>
      <c r="L57" s="432"/>
      <c r="M57" s="433">
        <f>8263264.09+616601.37</f>
        <v>8879865.459999999</v>
      </c>
      <c r="N57" s="432"/>
      <c r="O57" s="432"/>
      <c r="P57" s="436">
        <f t="shared" si="7"/>
        <v>8879865.459999999</v>
      </c>
      <c r="Q57" s="434"/>
    </row>
    <row r="58" spans="1:18" s="435" customFormat="1" ht="221.25" customHeight="1" x14ac:dyDescent="0.25">
      <c r="A58" s="426" t="s">
        <v>331</v>
      </c>
      <c r="B58" s="427" t="s">
        <v>326</v>
      </c>
      <c r="C58" s="428" t="s">
        <v>56</v>
      </c>
      <c r="D58" s="426" t="s">
        <v>74</v>
      </c>
      <c r="E58" s="426" t="s">
        <v>27</v>
      </c>
      <c r="F58" s="429" t="s">
        <v>77</v>
      </c>
      <c r="G58" s="430">
        <v>3</v>
      </c>
      <c r="H58" s="431" t="s">
        <v>330</v>
      </c>
      <c r="I58" s="426" t="s">
        <v>28</v>
      </c>
      <c r="J58" s="432"/>
      <c r="K58" s="433"/>
      <c r="L58" s="432"/>
      <c r="M58" s="433">
        <f>517253+38581.28+197463.65-232846.37</f>
        <v>520451.56000000006</v>
      </c>
      <c r="N58" s="432"/>
      <c r="O58" s="432"/>
      <c r="P58" s="436">
        <f t="shared" si="7"/>
        <v>520451.56000000006</v>
      </c>
      <c r="Q58" s="434"/>
    </row>
    <row r="59" spans="1:18" s="435" customFormat="1" ht="221.25" customHeight="1" x14ac:dyDescent="0.25">
      <c r="A59" s="426" t="s">
        <v>336</v>
      </c>
      <c r="B59" s="427" t="s">
        <v>326</v>
      </c>
      <c r="C59" s="428" t="s">
        <v>56</v>
      </c>
      <c r="D59" s="426" t="s">
        <v>74</v>
      </c>
      <c r="E59" s="426" t="s">
        <v>27</v>
      </c>
      <c r="F59" s="429" t="s">
        <v>77</v>
      </c>
      <c r="G59" s="430">
        <v>3</v>
      </c>
      <c r="H59" s="431" t="s">
        <v>330</v>
      </c>
      <c r="I59" s="426" t="s">
        <v>175</v>
      </c>
      <c r="J59" s="432"/>
      <c r="K59" s="433"/>
      <c r="L59" s="432"/>
      <c r="M59" s="433">
        <f>1573955.07+232846.37</f>
        <v>1806801.44</v>
      </c>
      <c r="N59" s="432"/>
      <c r="O59" s="432"/>
      <c r="P59" s="436">
        <f t="shared" si="7"/>
        <v>1806801.44</v>
      </c>
      <c r="Q59" s="434"/>
    </row>
    <row r="60" spans="1:18" ht="28.5" customHeight="1" x14ac:dyDescent="0.25">
      <c r="A60" s="243"/>
      <c r="B60" s="244" t="s">
        <v>23</v>
      </c>
      <c r="C60" s="245"/>
      <c r="D60" s="244"/>
      <c r="E60" s="244"/>
      <c r="F60" s="246"/>
      <c r="G60" s="247"/>
      <c r="H60" s="248"/>
      <c r="I60" s="244"/>
      <c r="J60" s="274">
        <f>SUM(J37:J51)</f>
        <v>2391946.94</v>
      </c>
      <c r="K60" s="274">
        <f>SUM(K37:K54)</f>
        <v>2916688.5300000003</v>
      </c>
      <c r="L60" s="274">
        <f t="shared" ref="L60:N60" si="8">SUM(L37:L54)</f>
        <v>939634.46</v>
      </c>
      <c r="M60" s="274">
        <f>SUM(M37:M59)</f>
        <v>16721892.009999998</v>
      </c>
      <c r="N60" s="274">
        <f t="shared" si="8"/>
        <v>0</v>
      </c>
      <c r="O60" s="274"/>
      <c r="P60" s="274">
        <f>J60+K60+L60+M60</f>
        <v>22970161.939999998</v>
      </c>
      <c r="Q60" s="245"/>
      <c r="R60" s="8"/>
    </row>
    <row r="61" spans="1:18" ht="24" customHeight="1" x14ac:dyDescent="0.25">
      <c r="A61" s="275" t="s">
        <v>67</v>
      </c>
      <c r="B61" s="599" t="s">
        <v>230</v>
      </c>
      <c r="C61" s="600"/>
      <c r="D61" s="600"/>
      <c r="E61" s="600"/>
      <c r="F61" s="600"/>
      <c r="G61" s="600"/>
      <c r="H61" s="600"/>
      <c r="I61" s="600"/>
      <c r="J61" s="600"/>
      <c r="K61" s="600"/>
      <c r="L61" s="600"/>
      <c r="M61" s="600"/>
      <c r="N61" s="600"/>
      <c r="O61" s="600"/>
      <c r="P61" s="601"/>
      <c r="Q61" s="276"/>
    </row>
    <row r="62" spans="1:18" ht="15.75" customHeight="1" x14ac:dyDescent="0.3">
      <c r="A62" s="277" t="s">
        <v>43</v>
      </c>
      <c r="B62" s="472" t="s">
        <v>66</v>
      </c>
      <c r="C62" s="106" t="s">
        <v>56</v>
      </c>
      <c r="D62" s="103" t="s">
        <v>74</v>
      </c>
      <c r="E62" s="103" t="s">
        <v>26</v>
      </c>
      <c r="F62" s="162" t="s">
        <v>77</v>
      </c>
      <c r="G62" s="163">
        <v>3</v>
      </c>
      <c r="H62" s="79" t="s">
        <v>249</v>
      </c>
      <c r="I62" s="103" t="s">
        <v>45</v>
      </c>
      <c r="J62" s="181">
        <v>630921.29</v>
      </c>
      <c r="K62" s="182">
        <f>852246.07-7240.07+6632.78</f>
        <v>851638.78</v>
      </c>
      <c r="L62" s="178">
        <v>881415.33</v>
      </c>
      <c r="M62" s="295">
        <v>893356.96</v>
      </c>
      <c r="N62" s="182">
        <f>M62</f>
        <v>893356.96</v>
      </c>
      <c r="O62" s="182">
        <f>N62</f>
        <v>893356.96</v>
      </c>
      <c r="P62" s="182">
        <f t="shared" ref="P62:P68" si="9">SUM(J62:O62)</f>
        <v>5044046.2799999993</v>
      </c>
      <c r="Q62" s="573"/>
      <c r="R62" s="16" t="s">
        <v>181</v>
      </c>
    </row>
    <row r="63" spans="1:18" s="48" customFormat="1" ht="15.75" customHeight="1" x14ac:dyDescent="0.3">
      <c r="A63" s="277" t="s">
        <v>43</v>
      </c>
      <c r="B63" s="598"/>
      <c r="C63" s="106" t="s">
        <v>56</v>
      </c>
      <c r="D63" s="103" t="s">
        <v>74</v>
      </c>
      <c r="E63" s="103" t="s">
        <v>26</v>
      </c>
      <c r="F63" s="162" t="s">
        <v>77</v>
      </c>
      <c r="G63" s="163">
        <v>3</v>
      </c>
      <c r="H63" s="180" t="s">
        <v>280</v>
      </c>
      <c r="I63" s="103" t="s">
        <v>45</v>
      </c>
      <c r="J63" s="181">
        <v>192955</v>
      </c>
      <c r="K63" s="182">
        <f>255580.8+23928.07</f>
        <v>279508.87</v>
      </c>
      <c r="L63" s="186">
        <v>269610.46000000002</v>
      </c>
      <c r="M63" s="186">
        <v>258552.31</v>
      </c>
      <c r="N63" s="182">
        <f t="shared" ref="N63:O70" si="10">M63</f>
        <v>258552.31</v>
      </c>
      <c r="O63" s="182">
        <f t="shared" si="10"/>
        <v>258552.31</v>
      </c>
      <c r="P63" s="182">
        <f t="shared" si="9"/>
        <v>1517731.2600000002</v>
      </c>
      <c r="Q63" s="574"/>
      <c r="R63" s="16" t="s">
        <v>181</v>
      </c>
    </row>
    <row r="64" spans="1:18" s="43" customFormat="1" ht="15.75" customHeight="1" x14ac:dyDescent="0.3">
      <c r="A64" s="278"/>
      <c r="B64" s="598"/>
      <c r="C64" s="106" t="s">
        <v>56</v>
      </c>
      <c r="D64" s="103" t="s">
        <v>74</v>
      </c>
      <c r="E64" s="79" t="s">
        <v>26</v>
      </c>
      <c r="F64" s="183" t="s">
        <v>77</v>
      </c>
      <c r="G64" s="163">
        <v>3</v>
      </c>
      <c r="H64" s="180" t="s">
        <v>249</v>
      </c>
      <c r="I64" s="103" t="s">
        <v>277</v>
      </c>
      <c r="J64" s="181">
        <v>190538.23</v>
      </c>
      <c r="K64" s="182">
        <f>257378.31-2186.51+1972.91</f>
        <v>257164.71</v>
      </c>
      <c r="L64" s="178">
        <v>264351.81</v>
      </c>
      <c r="M64" s="186">
        <v>269793.8</v>
      </c>
      <c r="N64" s="182">
        <f t="shared" si="10"/>
        <v>269793.8</v>
      </c>
      <c r="O64" s="182">
        <f t="shared" si="10"/>
        <v>269793.8</v>
      </c>
      <c r="P64" s="182">
        <f t="shared" si="9"/>
        <v>1521436.1500000001</v>
      </c>
      <c r="Q64" s="574"/>
      <c r="R64" s="16"/>
    </row>
    <row r="65" spans="1:18" s="48" customFormat="1" ht="15.75" customHeight="1" x14ac:dyDescent="0.3">
      <c r="A65" s="278"/>
      <c r="B65" s="598"/>
      <c r="C65" s="106" t="s">
        <v>56</v>
      </c>
      <c r="D65" s="103" t="s">
        <v>74</v>
      </c>
      <c r="E65" s="79" t="s">
        <v>26</v>
      </c>
      <c r="F65" s="183" t="s">
        <v>77</v>
      </c>
      <c r="G65" s="163">
        <v>3</v>
      </c>
      <c r="H65" s="180" t="s">
        <v>280</v>
      </c>
      <c r="I65" s="103" t="s">
        <v>277</v>
      </c>
      <c r="J65" s="181">
        <v>58272.41</v>
      </c>
      <c r="K65" s="182">
        <f>77185.4+7226.29</f>
        <v>84411.689999999988</v>
      </c>
      <c r="L65" s="186">
        <v>80347.22</v>
      </c>
      <c r="M65" s="186">
        <v>78082.8</v>
      </c>
      <c r="N65" s="182">
        <f t="shared" si="10"/>
        <v>78082.8</v>
      </c>
      <c r="O65" s="182">
        <f t="shared" si="10"/>
        <v>78082.8</v>
      </c>
      <c r="P65" s="182">
        <f t="shared" si="9"/>
        <v>457279.72</v>
      </c>
      <c r="Q65" s="574"/>
      <c r="R65" s="16"/>
    </row>
    <row r="66" spans="1:18" x14ac:dyDescent="0.3">
      <c r="A66" s="278"/>
      <c r="B66" s="598"/>
      <c r="C66" s="106" t="s">
        <v>56</v>
      </c>
      <c r="D66" s="99" t="s">
        <v>74</v>
      </c>
      <c r="E66" s="100" t="s">
        <v>26</v>
      </c>
      <c r="F66" s="101" t="s">
        <v>77</v>
      </c>
      <c r="G66" s="102">
        <v>3</v>
      </c>
      <c r="H66" s="79" t="s">
        <v>249</v>
      </c>
      <c r="I66" s="103" t="s">
        <v>126</v>
      </c>
      <c r="J66" s="181">
        <f>7200-3200</f>
        <v>4000</v>
      </c>
      <c r="K66" s="182">
        <v>2484.59</v>
      </c>
      <c r="L66" s="178">
        <f>780+23583+574.6</f>
        <v>24937.599999999999</v>
      </c>
      <c r="M66" s="186">
        <f>780+666.25</f>
        <v>1446.25</v>
      </c>
      <c r="N66" s="182">
        <f>M66-666.25</f>
        <v>780</v>
      </c>
      <c r="O66" s="182">
        <f t="shared" si="10"/>
        <v>780</v>
      </c>
      <c r="P66" s="182">
        <f t="shared" si="9"/>
        <v>34428.44</v>
      </c>
      <c r="Q66" s="574"/>
      <c r="R66" s="16"/>
    </row>
    <row r="67" spans="1:18" x14ac:dyDescent="0.3">
      <c r="A67" s="278"/>
      <c r="B67" s="598"/>
      <c r="C67" s="106" t="s">
        <v>56</v>
      </c>
      <c r="D67" s="99" t="s">
        <v>74</v>
      </c>
      <c r="E67" s="100" t="s">
        <v>26</v>
      </c>
      <c r="F67" s="101" t="s">
        <v>77</v>
      </c>
      <c r="G67" s="102">
        <v>3</v>
      </c>
      <c r="H67" s="79" t="s">
        <v>249</v>
      </c>
      <c r="I67" s="100" t="s">
        <v>28</v>
      </c>
      <c r="J67" s="181">
        <f>290346.4+3200-58031.49</f>
        <v>235514.91000000003</v>
      </c>
      <c r="K67" s="182">
        <f>323459.03+27100-878.56-2484.59-1000+20000-11779.44</f>
        <v>354416.44</v>
      </c>
      <c r="L67" s="178">
        <f>347279.03-23583-574.6-20000</f>
        <v>303121.43000000005</v>
      </c>
      <c r="M67" s="186">
        <f>336539.03-666.25</f>
        <v>335872.78</v>
      </c>
      <c r="N67" s="182">
        <f>M67+666.25</f>
        <v>336539.03</v>
      </c>
      <c r="O67" s="182">
        <f t="shared" si="10"/>
        <v>336539.03</v>
      </c>
      <c r="P67" s="182">
        <f t="shared" si="9"/>
        <v>1902003.62</v>
      </c>
      <c r="Q67" s="575"/>
      <c r="R67" s="16"/>
    </row>
    <row r="68" spans="1:18" outlineLevel="1" x14ac:dyDescent="0.3">
      <c r="A68" s="278"/>
      <c r="B68" s="598"/>
      <c r="C68" s="106" t="s">
        <v>56</v>
      </c>
      <c r="D68" s="99" t="s">
        <v>74</v>
      </c>
      <c r="E68" s="100" t="s">
        <v>26</v>
      </c>
      <c r="F68" s="101" t="s">
        <v>77</v>
      </c>
      <c r="G68" s="102">
        <v>3</v>
      </c>
      <c r="H68" s="79" t="s">
        <v>249</v>
      </c>
      <c r="I68" s="100" t="s">
        <v>127</v>
      </c>
      <c r="J68" s="181">
        <v>4500</v>
      </c>
      <c r="K68" s="182">
        <f>878.56+1000</f>
        <v>1878.56</v>
      </c>
      <c r="L68" s="178">
        <v>1000</v>
      </c>
      <c r="M68" s="186"/>
      <c r="N68" s="182"/>
      <c r="O68" s="182"/>
      <c r="P68" s="182">
        <f t="shared" si="9"/>
        <v>7378.5599999999995</v>
      </c>
      <c r="Q68" s="127"/>
      <c r="R68" s="16" t="s">
        <v>234</v>
      </c>
    </row>
    <row r="69" spans="1:18" s="56" customFormat="1" outlineLevel="1" x14ac:dyDescent="0.3">
      <c r="A69" s="278"/>
      <c r="B69" s="598"/>
      <c r="C69" s="390" t="s">
        <v>56</v>
      </c>
      <c r="D69" s="99" t="s">
        <v>74</v>
      </c>
      <c r="E69" s="100" t="s">
        <v>26</v>
      </c>
      <c r="F69" s="101" t="s">
        <v>77</v>
      </c>
      <c r="G69" s="102">
        <v>3</v>
      </c>
      <c r="H69" s="79" t="s">
        <v>249</v>
      </c>
      <c r="I69" s="100" t="s">
        <v>312</v>
      </c>
      <c r="J69" s="181"/>
      <c r="K69" s="182"/>
      <c r="L69" s="178"/>
      <c r="M69" s="186">
        <v>878.56</v>
      </c>
      <c r="N69" s="182">
        <f t="shared" ref="N69" si="11">M69</f>
        <v>878.56</v>
      </c>
      <c r="O69" s="182">
        <f t="shared" ref="O69" si="12">N69</f>
        <v>878.56</v>
      </c>
      <c r="P69" s="182">
        <f>SUM(J69:O69)</f>
        <v>2635.68</v>
      </c>
      <c r="Q69" s="391"/>
      <c r="R69" s="16"/>
    </row>
    <row r="70" spans="1:18" outlineLevel="1" x14ac:dyDescent="0.3">
      <c r="A70" s="279"/>
      <c r="B70" s="598"/>
      <c r="C70" s="106" t="s">
        <v>56</v>
      </c>
      <c r="D70" s="99" t="s">
        <v>74</v>
      </c>
      <c r="E70" s="100" t="s">
        <v>26</v>
      </c>
      <c r="F70" s="101" t="s">
        <v>77</v>
      </c>
      <c r="G70" s="102">
        <v>3</v>
      </c>
      <c r="H70" s="100" t="s">
        <v>275</v>
      </c>
      <c r="I70" s="103" t="s">
        <v>126</v>
      </c>
      <c r="J70" s="182"/>
      <c r="K70" s="182">
        <f>8000+2416</f>
        <v>10416</v>
      </c>
      <c r="L70" s="182"/>
      <c r="M70" s="186"/>
      <c r="N70" s="182">
        <f t="shared" si="10"/>
        <v>0</v>
      </c>
      <c r="O70" s="182">
        <f t="shared" si="10"/>
        <v>0</v>
      </c>
      <c r="P70" s="182">
        <f t="shared" ref="P70:P72" si="13">SUM(J70:N70)</f>
        <v>10416</v>
      </c>
      <c r="Q70" s="127"/>
      <c r="R70" s="16"/>
    </row>
    <row r="71" spans="1:18" s="56" customFormat="1" outlineLevel="1" x14ac:dyDescent="0.3">
      <c r="A71" s="279"/>
      <c r="B71" s="598"/>
      <c r="C71" s="374" t="s">
        <v>56</v>
      </c>
      <c r="D71" s="99" t="s">
        <v>74</v>
      </c>
      <c r="E71" s="100" t="s">
        <v>26</v>
      </c>
      <c r="F71" s="101" t="s">
        <v>77</v>
      </c>
      <c r="G71" s="102">
        <v>3</v>
      </c>
      <c r="H71" s="83" t="s">
        <v>299</v>
      </c>
      <c r="I71" s="76" t="s">
        <v>126</v>
      </c>
      <c r="J71" s="182"/>
      <c r="K71" s="182"/>
      <c r="L71" s="182">
        <v>7500</v>
      </c>
      <c r="M71" s="186"/>
      <c r="N71" s="182"/>
      <c r="O71" s="182"/>
      <c r="P71" s="182">
        <f t="shared" si="13"/>
        <v>7500</v>
      </c>
      <c r="Q71" s="375"/>
      <c r="R71" s="16"/>
    </row>
    <row r="72" spans="1:18" s="56" customFormat="1" outlineLevel="1" x14ac:dyDescent="0.3">
      <c r="A72" s="279"/>
      <c r="B72" s="473"/>
      <c r="C72" s="374" t="s">
        <v>56</v>
      </c>
      <c r="D72" s="99" t="s">
        <v>74</v>
      </c>
      <c r="E72" s="100" t="s">
        <v>26</v>
      </c>
      <c r="F72" s="101" t="s">
        <v>77</v>
      </c>
      <c r="G72" s="102">
        <v>3</v>
      </c>
      <c r="H72" s="83" t="s">
        <v>299</v>
      </c>
      <c r="I72" s="76" t="s">
        <v>277</v>
      </c>
      <c r="J72" s="182"/>
      <c r="K72" s="182"/>
      <c r="L72" s="182">
        <v>2265</v>
      </c>
      <c r="M72" s="186"/>
      <c r="N72" s="182"/>
      <c r="O72" s="182"/>
      <c r="P72" s="182">
        <f t="shared" si="13"/>
        <v>2265</v>
      </c>
      <c r="Q72" s="375"/>
      <c r="R72" s="16"/>
    </row>
    <row r="73" spans="1:18" ht="31.5" customHeight="1" x14ac:dyDescent="0.25">
      <c r="A73" s="243"/>
      <c r="B73" s="244" t="s">
        <v>44</v>
      </c>
      <c r="C73" s="245"/>
      <c r="D73" s="244"/>
      <c r="E73" s="244"/>
      <c r="F73" s="246"/>
      <c r="G73" s="247"/>
      <c r="H73" s="248"/>
      <c r="I73" s="244"/>
      <c r="J73" s="280">
        <f>SUM(J62:J70)</f>
        <v>1316701.8399999999</v>
      </c>
      <c r="K73" s="280">
        <f>SUM(K62:K70)</f>
        <v>1841919.64</v>
      </c>
      <c r="L73" s="280">
        <f>SUM(L62:L72)</f>
        <v>1834548.85</v>
      </c>
      <c r="M73" s="280">
        <f>SUM(M62:M70)</f>
        <v>1837983.4600000002</v>
      </c>
      <c r="N73" s="280">
        <f>SUM(N62:N70)</f>
        <v>1837983.4600000002</v>
      </c>
      <c r="O73" s="280">
        <f>SUM(O62:O70)</f>
        <v>1837983.4600000002</v>
      </c>
      <c r="P73" s="280">
        <f>SUM(J73:O73)</f>
        <v>10507120.710000001</v>
      </c>
      <c r="Q73" s="245"/>
      <c r="R73" s="8"/>
    </row>
    <row r="74" spans="1:18" ht="33" customHeight="1" x14ac:dyDescent="0.25">
      <c r="A74" s="224"/>
      <c r="B74" s="225" t="s">
        <v>24</v>
      </c>
      <c r="C74" s="225"/>
      <c r="D74" s="225"/>
      <c r="E74" s="225"/>
      <c r="F74" s="226"/>
      <c r="G74" s="227"/>
      <c r="H74" s="228"/>
      <c r="I74" s="225"/>
      <c r="J74" s="281">
        <f t="shared" ref="J74:P74" si="14">J23+J26+J35+J60+J73</f>
        <v>13644150.699999999</v>
      </c>
      <c r="K74" s="282">
        <f t="shared" si="14"/>
        <v>15354612.059999999</v>
      </c>
      <c r="L74" s="282">
        <f t="shared" si="14"/>
        <v>13714969.579999996</v>
      </c>
      <c r="M74" s="282">
        <f>M23+M26+M35+M60+M73</f>
        <v>29893916.189999998</v>
      </c>
      <c r="N74" s="282">
        <f t="shared" si="14"/>
        <v>12456691.630000001</v>
      </c>
      <c r="O74" s="282">
        <f t="shared" si="14"/>
        <v>12456691.630000001</v>
      </c>
      <c r="P74" s="282">
        <f t="shared" si="14"/>
        <v>97521031.789999992</v>
      </c>
      <c r="Q74" s="225"/>
      <c r="R74" s="8"/>
    </row>
    <row r="75" spans="1:18" x14ac:dyDescent="0.25">
      <c r="A75" s="103"/>
      <c r="B75" s="125" t="s">
        <v>25</v>
      </c>
      <c r="C75" s="125"/>
      <c r="D75" s="125"/>
      <c r="E75" s="125"/>
      <c r="F75" s="162"/>
      <c r="G75" s="163"/>
      <c r="H75" s="230"/>
      <c r="I75" s="125"/>
      <c r="J75" s="283"/>
      <c r="K75" s="182"/>
      <c r="L75" s="182"/>
      <c r="M75" s="186"/>
      <c r="N75" s="182"/>
      <c r="O75" s="182"/>
      <c r="P75" s="182"/>
      <c r="Q75" s="125"/>
    </row>
    <row r="76" spans="1:18" s="54" customFormat="1" x14ac:dyDescent="0.25">
      <c r="A76" s="103"/>
      <c r="B76" s="125" t="s">
        <v>168</v>
      </c>
      <c r="C76" s="125"/>
      <c r="D76" s="125"/>
      <c r="E76" s="125"/>
      <c r="F76" s="162"/>
      <c r="G76" s="163"/>
      <c r="H76" s="230"/>
      <c r="I76" s="125"/>
      <c r="J76" s="283"/>
      <c r="K76" s="182"/>
      <c r="L76" s="182">
        <f>L21</f>
        <v>35360</v>
      </c>
      <c r="M76" s="186"/>
      <c r="N76" s="182"/>
      <c r="O76" s="182"/>
      <c r="P76" s="182">
        <f>SUM(J76:M76)</f>
        <v>35360</v>
      </c>
      <c r="Q76" s="125"/>
    </row>
    <row r="77" spans="1:18" ht="21.75" customHeight="1" x14ac:dyDescent="0.25">
      <c r="A77" s="103"/>
      <c r="B77" s="126" t="s">
        <v>169</v>
      </c>
      <c r="C77" s="125"/>
      <c r="D77" s="125"/>
      <c r="E77" s="125"/>
      <c r="F77" s="162"/>
      <c r="G77" s="163"/>
      <c r="H77" s="230"/>
      <c r="I77" s="125"/>
      <c r="J77" s="283">
        <f>425269.2+65974.35+400000+76955.72</f>
        <v>968199.27</v>
      </c>
      <c r="K77" s="182">
        <f>K11+K13+K15+K19+K52+K53+K54+K70</f>
        <v>1262658.05</v>
      </c>
      <c r="L77" s="182">
        <f>L11+L13+L15+L46+L71+L72</f>
        <v>877730.3</v>
      </c>
      <c r="M77" s="186">
        <f>M11+M13+M56+M57+M14</f>
        <v>12933410.549999999</v>
      </c>
      <c r="N77" s="182"/>
      <c r="O77" s="182"/>
      <c r="P77" s="182">
        <f>SUM(J77:M77)</f>
        <v>16041998.169999998</v>
      </c>
      <c r="Q77" s="125"/>
    </row>
    <row r="78" spans="1:18" ht="30" customHeight="1" x14ac:dyDescent="0.25">
      <c r="A78" s="103"/>
      <c r="B78" s="125" t="s">
        <v>170</v>
      </c>
      <c r="C78" s="125"/>
      <c r="D78" s="125"/>
      <c r="E78" s="125"/>
      <c r="F78" s="162"/>
      <c r="G78" s="163"/>
      <c r="H78" s="230"/>
      <c r="I78" s="125"/>
      <c r="J78" s="283">
        <f>J74-J77</f>
        <v>12675951.43</v>
      </c>
      <c r="K78" s="283">
        <f>K74-K77</f>
        <v>14091954.009999998</v>
      </c>
      <c r="L78" s="182">
        <f>L74-L77-L76</f>
        <v>12801879.279999996</v>
      </c>
      <c r="M78" s="186">
        <f>M74-M77</f>
        <v>16960505.640000001</v>
      </c>
      <c r="N78" s="182">
        <f>N74</f>
        <v>12456691.630000001</v>
      </c>
      <c r="O78" s="182">
        <f>O74</f>
        <v>12456691.630000001</v>
      </c>
      <c r="P78" s="182">
        <f>SUM(J78:O78)</f>
        <v>81443673.61999999</v>
      </c>
      <c r="Q78" s="125"/>
      <c r="R78" s="8"/>
    </row>
    <row r="79" spans="1:18" s="11" customFormat="1" ht="35.25" customHeight="1" x14ac:dyDescent="0.25">
      <c r="A79" s="17"/>
      <c r="M79" s="296"/>
    </row>
    <row r="80" spans="1:18" s="11" customFormat="1" ht="35.25" customHeight="1" x14ac:dyDescent="0.25">
      <c r="A80" s="544"/>
      <c r="B80" s="544"/>
      <c r="C80" s="544"/>
      <c r="D80" s="544"/>
      <c r="E80" s="544"/>
      <c r="F80" s="544"/>
      <c r="G80" s="544"/>
      <c r="H80" s="544"/>
      <c r="I80" s="544"/>
      <c r="J80" s="10"/>
      <c r="K80" s="10"/>
      <c r="L80" s="10"/>
      <c r="M80" s="291"/>
      <c r="N80" s="10"/>
      <c r="O80" s="10"/>
      <c r="P80" s="10"/>
    </row>
    <row r="81" spans="1:18" s="11" customFormat="1" ht="35.25" customHeight="1" x14ac:dyDescent="0.25">
      <c r="A81" s="17"/>
      <c r="M81" s="296"/>
    </row>
    <row r="82" spans="1:18" s="11" customFormat="1" ht="35.25" customHeight="1" x14ac:dyDescent="0.25">
      <c r="A82" s="17"/>
      <c r="J82" s="10"/>
      <c r="M82" s="296"/>
    </row>
    <row r="83" spans="1:18" x14ac:dyDescent="0.25">
      <c r="J83" s="8"/>
      <c r="R83" s="8"/>
    </row>
  </sheetData>
  <mergeCells count="38">
    <mergeCell ref="A80:I80"/>
    <mergeCell ref="B7:P7"/>
    <mergeCell ref="B8:P8"/>
    <mergeCell ref="B24:P24"/>
    <mergeCell ref="B37:B38"/>
    <mergeCell ref="B27:P27"/>
    <mergeCell ref="B36:P36"/>
    <mergeCell ref="B28:B29"/>
    <mergeCell ref="A41:A43"/>
    <mergeCell ref="B32:B33"/>
    <mergeCell ref="A32:A33"/>
    <mergeCell ref="A37:A38"/>
    <mergeCell ref="A9:A13"/>
    <mergeCell ref="A28:A29"/>
    <mergeCell ref="A30:A31"/>
    <mergeCell ref="Q62:Q67"/>
    <mergeCell ref="Q28:Q29"/>
    <mergeCell ref="B30:B31"/>
    <mergeCell ref="Q30:Q31"/>
    <mergeCell ref="C37:C38"/>
    <mergeCell ref="Q37:Q38"/>
    <mergeCell ref="B61:P61"/>
    <mergeCell ref="B41:B46"/>
    <mergeCell ref="B62:B72"/>
    <mergeCell ref="T19:U19"/>
    <mergeCell ref="T20:U20"/>
    <mergeCell ref="M1:Q1"/>
    <mergeCell ref="T17:U17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4" max="14" man="1"/>
    <brk id="31" max="14" man="1"/>
    <brk id="4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Прил2</vt:lpstr>
      <vt:lpstr>Прил 1</vt:lpstr>
      <vt:lpstr>прил 3</vt:lpstr>
      <vt:lpstr>Прил 4</vt:lpstr>
      <vt:lpstr>ПП3</vt:lpstr>
      <vt:lpstr>Лист1</vt:lpstr>
      <vt:lpstr>'Прил 1'!Заголовки_для_печати</vt:lpstr>
      <vt:lpstr>'прил 3'!Заголовки_для_печати</vt:lpstr>
      <vt:lpstr>Прил2!Заголовки_для_печати</vt:lpstr>
      <vt:lpstr>ПП3!Область_печати</vt:lpstr>
      <vt:lpstr>'Прил 1'!Область_печати</vt:lpstr>
      <vt:lpstr>'прил 3'!Область_печати</vt:lpstr>
      <vt:lpstr>'Прил 4'!Область_печати</vt:lpstr>
      <vt:lpstr>Прил2!Область_печати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Савицкая Ольга Евгеньевна</cp:lastModifiedBy>
  <cp:lastPrinted>2017-08-25T01:52:57Z</cp:lastPrinted>
  <dcterms:created xsi:type="dcterms:W3CDTF">2013-07-29T03:10:57Z</dcterms:created>
  <dcterms:modified xsi:type="dcterms:W3CDTF">2017-10-10T01:32:35Z</dcterms:modified>
</cp:coreProperties>
</file>