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740" windowWidth="15480" windowHeight="10200" tabRatio="851"/>
  </bookViews>
  <sheets>
    <sheet name="Прил 2" sheetId="9" r:id="rId1"/>
    <sheet name="Прил 1" sheetId="8" r:id="rId2"/>
    <sheet name="Прил 3" sheetId="1" r:id="rId3"/>
    <sheet name="Прил 4" sheetId="6" r:id="rId4"/>
    <sheet name="Прил 5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0">'Прил 2'!$5:$6</definedName>
    <definedName name="_xlnm.Print_Titles" localSheetId="2">'Прил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 1'!$A$1:$O$24</definedName>
    <definedName name="_xlnm.Print_Area" localSheetId="0">'Прил 2'!$A$1:$Q$153</definedName>
    <definedName name="_xlnm.Print_Area" localSheetId="2">'Прил 3'!$A$1:$P$41</definedName>
    <definedName name="_xlnm.Print_Area" localSheetId="3">'Прил 4'!$A$1:$P$54</definedName>
    <definedName name="_xlnm.Print_Area" localSheetId="4">'Прил 5'!$A$1:$P$65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 refMode="R1C1"/>
</workbook>
</file>

<file path=xl/calcChain.xml><?xml version="1.0" encoding="utf-8"?>
<calcChain xmlns="http://schemas.openxmlformats.org/spreadsheetml/2006/main">
  <c r="M9" i="9" l="1"/>
  <c r="L13" i="8"/>
  <c r="L23" i="1"/>
  <c r="M32" i="9"/>
  <c r="M21" i="9"/>
  <c r="M84" i="9"/>
  <c r="M83" i="9"/>
  <c r="M78" i="9"/>
  <c r="M77" i="9"/>
  <c r="P77" i="9" s="1"/>
  <c r="M76" i="9"/>
  <c r="L12" i="1"/>
  <c r="L41" i="6"/>
  <c r="L40" i="6"/>
  <c r="L33" i="6"/>
  <c r="L35" i="6"/>
  <c r="L34" i="6"/>
  <c r="L39" i="6"/>
  <c r="M10" i="1"/>
  <c r="M19" i="9"/>
  <c r="M95" i="9" l="1"/>
  <c r="P61" i="9"/>
  <c r="P28" i="9"/>
  <c r="P27" i="9"/>
  <c r="M27" i="9"/>
  <c r="M15" i="9" s="1"/>
  <c r="O18" i="6"/>
  <c r="O19" i="1"/>
  <c r="L18" i="1"/>
  <c r="L40" i="1" s="1"/>
  <c r="M102" i="9"/>
  <c r="M99" i="9"/>
  <c r="M60" i="9"/>
  <c r="M58" i="9"/>
  <c r="N58" i="9" s="1"/>
  <c r="M54" i="9"/>
  <c r="M52" i="9"/>
  <c r="N52" i="9" s="1"/>
  <c r="M42" i="9"/>
  <c r="M40" i="9"/>
  <c r="M26" i="9"/>
  <c r="M25" i="9"/>
  <c r="M18" i="9"/>
  <c r="L17" i="1"/>
  <c r="L16" i="1"/>
  <c r="L10" i="1"/>
  <c r="L9" i="1"/>
  <c r="M9" i="1" s="1"/>
  <c r="L11" i="6"/>
  <c r="L9" i="6"/>
  <c r="M9" i="6" s="1"/>
  <c r="L12" i="7"/>
  <c r="L9" i="7"/>
  <c r="L33" i="1"/>
  <c r="L31" i="1"/>
  <c r="M31" i="1" s="1"/>
  <c r="L17" i="6"/>
  <c r="L15" i="6"/>
  <c r="M15" i="6" s="1"/>
  <c r="M55" i="9"/>
  <c r="L12" i="6"/>
  <c r="L13" i="7"/>
  <c r="L64" i="7" s="1"/>
  <c r="O18" i="1" l="1"/>
  <c r="L29" i="1"/>
  <c r="L14" i="8"/>
  <c r="L23" i="8"/>
  <c r="M59" i="9"/>
  <c r="M49" i="9" s="1"/>
  <c r="M10" i="9" s="1"/>
  <c r="L16" i="6"/>
  <c r="L24" i="6" s="1"/>
  <c r="M29" i="9"/>
  <c r="M82" i="9"/>
  <c r="M147" i="9"/>
  <c r="M148" i="9"/>
  <c r="L148" i="9"/>
  <c r="M79" i="9"/>
  <c r="P78" i="9"/>
  <c r="P75" i="9"/>
  <c r="K72" i="9"/>
  <c r="P72" i="9"/>
  <c r="K73" i="9"/>
  <c r="K74" i="9"/>
  <c r="P74" i="9" s="1"/>
  <c r="P76" i="9"/>
  <c r="L79" i="9"/>
  <c r="N79" i="9"/>
  <c r="O35" i="6"/>
  <c r="O32" i="6"/>
  <c r="L57" i="7"/>
  <c r="L58" i="7"/>
  <c r="O34" i="6"/>
  <c r="L31" i="6" l="1"/>
  <c r="N21" i="9"/>
  <c r="L39" i="1"/>
  <c r="L8" i="8"/>
  <c r="N39" i="6"/>
  <c r="O82" i="9"/>
  <c r="L125" i="9"/>
  <c r="L84" i="9"/>
  <c r="L26" i="9"/>
  <c r="L25" i="9"/>
  <c r="L24" i="9"/>
  <c r="L23" i="9"/>
  <c r="L18" i="9"/>
  <c r="K58" i="7"/>
  <c r="K53" i="7"/>
  <c r="K56" i="7"/>
  <c r="K54" i="7"/>
  <c r="K55" i="7"/>
  <c r="L53" i="6" l="1"/>
  <c r="L36" i="6"/>
  <c r="L19" i="8"/>
  <c r="L20" i="7"/>
  <c r="K35" i="7"/>
  <c r="K13" i="7"/>
  <c r="K12" i="7"/>
  <c r="K11" i="7"/>
  <c r="K9" i="7"/>
  <c r="K41" i="6"/>
  <c r="K17" i="6"/>
  <c r="K16" i="6"/>
  <c r="K15" i="6"/>
  <c r="K12" i="6"/>
  <c r="K11" i="6"/>
  <c r="K10" i="6"/>
  <c r="K9" i="6"/>
  <c r="K33" i="1"/>
  <c r="K32" i="1"/>
  <c r="K31" i="1" l="1"/>
  <c r="K17" i="1" l="1"/>
  <c r="K16" i="1"/>
  <c r="K15" i="1"/>
  <c r="K14" i="1"/>
  <c r="K9" i="1" l="1"/>
  <c r="P146" i="9" l="1"/>
  <c r="P144" i="9"/>
  <c r="O56" i="7"/>
  <c r="O54" i="7"/>
  <c r="O19" i="9" l="1"/>
  <c r="M38" i="9" l="1"/>
  <c r="N10" i="1"/>
  <c r="N9" i="1"/>
  <c r="K48" i="7" l="1"/>
  <c r="L21" i="9" l="1"/>
  <c r="P34" i="9"/>
  <c r="L29" i="9"/>
  <c r="P26" i="9"/>
  <c r="O53" i="7" l="1"/>
  <c r="O25" i="1" l="1"/>
  <c r="J9" i="1"/>
  <c r="J17" i="1"/>
  <c r="O17" i="1" s="1"/>
  <c r="M39" i="6" l="1"/>
  <c r="O121" i="9"/>
  <c r="O122" i="9" s="1"/>
  <c r="N121" i="9"/>
  <c r="N122" i="9" s="1"/>
  <c r="O84" i="9"/>
  <c r="N84" i="9"/>
  <c r="N82" i="9"/>
  <c r="M121" i="9"/>
  <c r="M122" i="9" s="1"/>
  <c r="M67" i="9"/>
  <c r="L31" i="7" l="1"/>
  <c r="N41" i="6"/>
  <c r="M41" i="6"/>
  <c r="M31" i="7"/>
  <c r="N31" i="7" s="1"/>
  <c r="M21" i="1" l="1"/>
  <c r="N21" i="1" s="1"/>
  <c r="N148" i="9" l="1"/>
  <c r="O148" i="9"/>
  <c r="P145" i="9"/>
  <c r="P24" i="9"/>
  <c r="P19" i="9"/>
  <c r="O41" i="6"/>
  <c r="O55" i="7"/>
  <c r="M57" i="7"/>
  <c r="N57" i="7"/>
  <c r="M59" i="7"/>
  <c r="N59" i="7"/>
  <c r="L59" i="7"/>
  <c r="O15" i="1"/>
  <c r="M12" i="1"/>
  <c r="N12" i="1"/>
  <c r="N29" i="1" s="1"/>
  <c r="L31" i="9"/>
  <c r="L15" i="9" s="1"/>
  <c r="K22" i="1"/>
  <c r="K40" i="1" s="1"/>
  <c r="O10" i="1" l="1"/>
  <c r="O14" i="9"/>
  <c r="N14" i="9"/>
  <c r="M14" i="9"/>
  <c r="K20" i="1"/>
  <c r="K12" i="1"/>
  <c r="L121" i="9" l="1"/>
  <c r="K31" i="7" l="1"/>
  <c r="P150" i="9"/>
  <c r="P117" i="9"/>
  <c r="P118" i="9"/>
  <c r="P119" i="9"/>
  <c r="P120" i="9"/>
  <c r="P121" i="9"/>
  <c r="P100" i="9"/>
  <c r="P104" i="9"/>
  <c r="P105" i="9"/>
  <c r="P107" i="9"/>
  <c r="P108" i="9"/>
  <c r="P109" i="9"/>
  <c r="P94" i="9"/>
  <c r="P97" i="9"/>
  <c r="P43" i="9"/>
  <c r="P44" i="9"/>
  <c r="P20" i="9"/>
  <c r="P22" i="9"/>
  <c r="P30" i="9"/>
  <c r="P33" i="9"/>
  <c r="P35" i="9"/>
  <c r="P36" i="9"/>
  <c r="P37" i="9"/>
  <c r="P8" i="9"/>
  <c r="P13" i="9"/>
  <c r="O151" i="9"/>
  <c r="P86" i="9"/>
  <c r="P91" i="9"/>
  <c r="P57" i="9"/>
  <c r="P62" i="9"/>
  <c r="P63" i="9"/>
  <c r="P64" i="9"/>
  <c r="P65" i="9"/>
  <c r="P66" i="9"/>
  <c r="O92" i="9" l="1"/>
  <c r="O89" i="9"/>
  <c r="O88" i="9"/>
  <c r="O87" i="9"/>
  <c r="O85" i="9"/>
  <c r="O9" i="9"/>
  <c r="O8" i="8"/>
  <c r="O11" i="8"/>
  <c r="O16" i="8"/>
  <c r="O18" i="8"/>
  <c r="O21" i="8"/>
  <c r="N19" i="8"/>
  <c r="N9" i="8" s="1"/>
  <c r="O31" i="7"/>
  <c r="O14" i="7"/>
  <c r="O15" i="7"/>
  <c r="O17" i="7"/>
  <c r="O18" i="7"/>
  <c r="O19" i="7"/>
  <c r="O10" i="7"/>
  <c r="O14" i="6"/>
  <c r="O38" i="1"/>
  <c r="O35" i="1"/>
  <c r="O34" i="1"/>
  <c r="O21" i="1"/>
  <c r="O24" i="1"/>
  <c r="O26" i="1"/>
  <c r="O27" i="1"/>
  <c r="O28" i="1"/>
  <c r="O13" i="1"/>
  <c r="O11" i="1"/>
  <c r="N39" i="1"/>
  <c r="N49" i="6"/>
  <c r="N36" i="6"/>
  <c r="N61" i="7"/>
  <c r="L51" i="7"/>
  <c r="M51" i="7"/>
  <c r="N51" i="7"/>
  <c r="N32" i="7"/>
  <c r="M23" i="7"/>
  <c r="N23" i="7"/>
  <c r="K41" i="7"/>
  <c r="K42" i="7"/>
  <c r="L140" i="9"/>
  <c r="L130" i="9"/>
  <c r="K40" i="7"/>
  <c r="P84" i="9"/>
  <c r="O12" i="7"/>
  <c r="L82" i="9"/>
  <c r="P82" i="9" s="1"/>
  <c r="K39" i="6"/>
  <c r="O39" i="6" s="1"/>
  <c r="K60" i="7" l="1"/>
  <c r="O60" i="7" s="1"/>
  <c r="P139" i="9"/>
  <c r="P140" i="9"/>
  <c r="L138" i="9"/>
  <c r="L141" i="9" s="1"/>
  <c r="K50" i="7"/>
  <c r="O50" i="7" s="1"/>
  <c r="O49" i="7"/>
  <c r="O48" i="7"/>
  <c r="P138" i="9" l="1"/>
  <c r="K64" i="7"/>
  <c r="K51" i="7"/>
  <c r="P25" i="9"/>
  <c r="P54" i="9"/>
  <c r="P102" i="9"/>
  <c r="P42" i="9"/>
  <c r="P60" i="9"/>
  <c r="P23" i="9"/>
  <c r="L95" i="9"/>
  <c r="L149" i="9"/>
  <c r="P149" i="9" s="1"/>
  <c r="O33" i="1"/>
  <c r="K53" i="6"/>
  <c r="K59" i="7"/>
  <c r="O59" i="7" s="1"/>
  <c r="O33" i="6"/>
  <c r="L32" i="9"/>
  <c r="L38" i="9" s="1"/>
  <c r="L14" i="9" l="1"/>
  <c r="P14" i="9" s="1"/>
  <c r="P32" i="9"/>
  <c r="O40" i="1"/>
  <c r="L49" i="9"/>
  <c r="K36" i="6"/>
  <c r="L83" i="9"/>
  <c r="P83" i="9" s="1"/>
  <c r="K23" i="1"/>
  <c r="K40" i="6"/>
  <c r="O40" i="6" s="1"/>
  <c r="R17" i="7"/>
  <c r="O23" i="1" l="1"/>
  <c r="K29" i="1"/>
  <c r="K24" i="6"/>
  <c r="O41" i="7"/>
  <c r="O42" i="7"/>
  <c r="K20" i="7" l="1"/>
  <c r="L110" i="9"/>
  <c r="L67" i="9" l="1"/>
  <c r="K49" i="6"/>
  <c r="K61" i="7" l="1"/>
  <c r="L151" i="9" l="1"/>
  <c r="L10" i="9"/>
  <c r="K23" i="8"/>
  <c r="M151" i="9" l="1"/>
  <c r="N151" i="9"/>
  <c r="N31" i="1" l="1"/>
  <c r="N36" i="1" s="1"/>
  <c r="P132" i="9" l="1"/>
  <c r="P131" i="9"/>
  <c r="K95" i="9" l="1"/>
  <c r="P143" i="9"/>
  <c r="K101" i="9"/>
  <c r="P101" i="9" s="1"/>
  <c r="K99" i="9"/>
  <c r="K49" i="9"/>
  <c r="P81" i="9"/>
  <c r="K58" i="9"/>
  <c r="K55" i="9"/>
  <c r="P55" i="9" s="1"/>
  <c r="K53" i="9"/>
  <c r="P53" i="9" s="1"/>
  <c r="K15" i="9"/>
  <c r="K41" i="9"/>
  <c r="P41" i="9" s="1"/>
  <c r="K21" i="9"/>
  <c r="J23" i="8"/>
  <c r="O23" i="8" s="1"/>
  <c r="J19" i="8"/>
  <c r="J14" i="8"/>
  <c r="J64" i="7"/>
  <c r="J53" i="6"/>
  <c r="J13" i="6"/>
  <c r="O13" i="6" s="1"/>
  <c r="J9" i="7"/>
  <c r="J11" i="7"/>
  <c r="O11" i="7" s="1"/>
  <c r="O21" i="9" l="1"/>
  <c r="J17" i="6"/>
  <c r="O17" i="6" s="1"/>
  <c r="J11" i="6"/>
  <c r="O11" i="6" s="1"/>
  <c r="J10" i="6"/>
  <c r="O10" i="6" s="1"/>
  <c r="J12" i="6"/>
  <c r="O12" i="6" s="1"/>
  <c r="O23" i="6"/>
  <c r="O22" i="6"/>
  <c r="J15" i="6"/>
  <c r="P21" i="9" l="1"/>
  <c r="J12" i="1"/>
  <c r="O16" i="1"/>
  <c r="O14" i="1"/>
  <c r="J32" i="1"/>
  <c r="O32" i="1" s="1"/>
  <c r="J20" i="1"/>
  <c r="O20" i="1" s="1"/>
  <c r="K14" i="8"/>
  <c r="O14" i="8" s="1"/>
  <c r="O12" i="1" l="1"/>
  <c r="M39" i="1"/>
  <c r="O39" i="1" s="1"/>
  <c r="K13" i="8"/>
  <c r="O13" i="8" s="1"/>
  <c r="L9" i="9"/>
  <c r="P9" i="9" l="1"/>
  <c r="P95" i="9"/>
  <c r="K48" i="9"/>
  <c r="P48" i="9" s="1"/>
  <c r="O52" i="6" l="1"/>
  <c r="O39" i="7" l="1"/>
  <c r="P129" i="9"/>
  <c r="J47" i="6"/>
  <c r="J49" i="6" s="1"/>
  <c r="K90" i="9"/>
  <c r="P90" i="9" s="1"/>
  <c r="N89" i="9"/>
  <c r="M89" i="9"/>
  <c r="L89" i="9"/>
  <c r="N88" i="9"/>
  <c r="M88" i="9"/>
  <c r="L88" i="9"/>
  <c r="N87" i="9"/>
  <c r="M87" i="9"/>
  <c r="L87" i="9"/>
  <c r="N85" i="9"/>
  <c r="M85" i="9"/>
  <c r="L85" i="9"/>
  <c r="M42" i="6"/>
  <c r="L42" i="6"/>
  <c r="L46" i="6"/>
  <c r="M46" i="6"/>
  <c r="K46" i="6"/>
  <c r="L45" i="6"/>
  <c r="M45" i="6"/>
  <c r="L44" i="6"/>
  <c r="M44" i="6"/>
  <c r="O43" i="6"/>
  <c r="K42" i="6"/>
  <c r="K45" i="6"/>
  <c r="K44" i="6"/>
  <c r="P87" i="9" l="1"/>
  <c r="P89" i="9"/>
  <c r="P85" i="9"/>
  <c r="P88" i="9"/>
  <c r="K92" i="9"/>
  <c r="L49" i="6"/>
  <c r="O38" i="6"/>
  <c r="M49" i="6"/>
  <c r="O45" i="6"/>
  <c r="L92" i="9"/>
  <c r="N92" i="9"/>
  <c r="M92" i="9"/>
  <c r="M46" i="9" s="1"/>
  <c r="M50" i="9" s="1"/>
  <c r="L20" i="8" s="1"/>
  <c r="O44" i="6"/>
  <c r="O42" i="6"/>
  <c r="O46" i="6"/>
  <c r="P92" i="9" l="1"/>
  <c r="O49" i="6"/>
  <c r="N38" i="9" l="1"/>
  <c r="M29" i="1" l="1"/>
  <c r="O18" i="9"/>
  <c r="M19" i="8"/>
  <c r="M9" i="8" s="1"/>
  <c r="P134" i="9"/>
  <c r="P133" i="9"/>
  <c r="P124" i="9"/>
  <c r="O48" i="6"/>
  <c r="O21" i="6"/>
  <c r="O20" i="6"/>
  <c r="O19" i="6"/>
  <c r="O46" i="7"/>
  <c r="O44" i="7"/>
  <c r="O43" i="7"/>
  <c r="O34" i="7"/>
  <c r="O27" i="7"/>
  <c r="O28" i="7"/>
  <c r="O29" i="7"/>
  <c r="O30" i="7"/>
  <c r="M61" i="7"/>
  <c r="M32" i="7"/>
  <c r="M36" i="6"/>
  <c r="L36" i="1"/>
  <c r="K36" i="1"/>
  <c r="N113" i="9"/>
  <c r="N141" i="9"/>
  <c r="M110" i="9"/>
  <c r="O52" i="9"/>
  <c r="M45" i="9"/>
  <c r="M12" i="9" s="1"/>
  <c r="L45" i="9"/>
  <c r="L41" i="1" l="1"/>
  <c r="L15" i="8" s="1"/>
  <c r="L12" i="8" s="1"/>
  <c r="L37" i="1"/>
  <c r="O38" i="9"/>
  <c r="K37" i="1"/>
  <c r="K41" i="1"/>
  <c r="K15" i="8" s="1"/>
  <c r="K12" i="8" s="1"/>
  <c r="O9" i="1"/>
  <c r="O58" i="9"/>
  <c r="P58" i="9" s="1"/>
  <c r="N110" i="9"/>
  <c r="N93" i="9" s="1"/>
  <c r="O99" i="9"/>
  <c r="O110" i="9" s="1"/>
  <c r="P18" i="9"/>
  <c r="N37" i="1"/>
  <c r="N41" i="1"/>
  <c r="N15" i="8" s="1"/>
  <c r="N12" i="8" s="1"/>
  <c r="N9" i="6"/>
  <c r="N15" i="6"/>
  <c r="L12" i="9"/>
  <c r="N67" i="9"/>
  <c r="N46" i="9" s="1"/>
  <c r="N50" i="9" s="1"/>
  <c r="M24" i="6"/>
  <c r="M50" i="6" s="1"/>
  <c r="M54" i="6" s="1"/>
  <c r="M20" i="8" s="1"/>
  <c r="M17" i="8" s="1"/>
  <c r="M36" i="1"/>
  <c r="O67" i="9" l="1"/>
  <c r="O46" i="9" s="1"/>
  <c r="O50" i="9" s="1"/>
  <c r="P99" i="9"/>
  <c r="N24" i="6"/>
  <c r="N50" i="6" s="1"/>
  <c r="N54" i="6" s="1"/>
  <c r="N20" i="8" s="1"/>
  <c r="N17" i="8" s="1"/>
  <c r="N96" i="9"/>
  <c r="N45" i="9"/>
  <c r="N12" i="9" s="1"/>
  <c r="N16" i="9" s="1"/>
  <c r="N11" i="9" s="1"/>
  <c r="O40" i="9"/>
  <c r="O45" i="9" s="1"/>
  <c r="O12" i="9" s="1"/>
  <c r="O16" i="9" s="1"/>
  <c r="O93" i="9"/>
  <c r="O96" i="9"/>
  <c r="O15" i="6"/>
  <c r="M20" i="7"/>
  <c r="N9" i="7"/>
  <c r="N20" i="7" s="1"/>
  <c r="N62" i="7" s="1"/>
  <c r="N65" i="7" s="1"/>
  <c r="N24" i="8" s="1"/>
  <c r="L16" i="9"/>
  <c r="M41" i="1"/>
  <c r="M15" i="8" s="1"/>
  <c r="M37" i="1"/>
  <c r="O11" i="9" l="1"/>
  <c r="O7" i="9" s="1"/>
  <c r="N7" i="9"/>
  <c r="O9" i="7"/>
  <c r="N22" i="8"/>
  <c r="N10" i="8"/>
  <c r="N7" i="8" s="1"/>
  <c r="M62" i="7"/>
  <c r="M65" i="7" s="1"/>
  <c r="M24" i="8" s="1"/>
  <c r="M22" i="8" s="1"/>
  <c r="M12" i="8"/>
  <c r="P49" i="9"/>
  <c r="M10" i="8" l="1"/>
  <c r="M7" i="8" s="1"/>
  <c r="O53" i="6"/>
  <c r="K106" i="9" l="1"/>
  <c r="P106" i="9" s="1"/>
  <c r="J16" i="7" l="1"/>
  <c r="O16" i="7" s="1"/>
  <c r="O64" i="7" l="1"/>
  <c r="K135" i="9" l="1"/>
  <c r="K137" i="9"/>
  <c r="K71" i="9"/>
  <c r="P71" i="9" s="1"/>
  <c r="K70" i="9"/>
  <c r="K69" i="9"/>
  <c r="J45" i="7"/>
  <c r="O45" i="7" s="1"/>
  <c r="J47" i="7"/>
  <c r="O47" i="7" s="1"/>
  <c r="J31" i="6"/>
  <c r="O31" i="6" s="1"/>
  <c r="J30" i="6"/>
  <c r="O30" i="6" s="1"/>
  <c r="J29" i="6"/>
  <c r="O29" i="6" s="1"/>
  <c r="J28" i="6"/>
  <c r="O28" i="6" s="1"/>
  <c r="J27" i="6"/>
  <c r="O27" i="6" s="1"/>
  <c r="J26" i="6"/>
  <c r="K79" i="9" l="1"/>
  <c r="J36" i="6"/>
  <c r="P137" i="9"/>
  <c r="O26" i="6"/>
  <c r="O36" i="6" s="1"/>
  <c r="U11" i="9"/>
  <c r="K10" i="9" l="1"/>
  <c r="K31" i="9" l="1"/>
  <c r="P31" i="9" s="1"/>
  <c r="K130" i="9"/>
  <c r="P130" i="9" s="1"/>
  <c r="K125" i="9"/>
  <c r="P135" i="9" s="1"/>
  <c r="K128" i="9"/>
  <c r="P128" i="9" s="1"/>
  <c r="K148" i="9"/>
  <c r="P148" i="9" s="1"/>
  <c r="J38" i="7"/>
  <c r="O38" i="7" s="1"/>
  <c r="J58" i="7"/>
  <c r="O58" i="7" s="1"/>
  <c r="J35" i="7"/>
  <c r="J40" i="7"/>
  <c r="O40" i="7" s="1"/>
  <c r="J51" i="7" l="1"/>
  <c r="O51" i="7" s="1"/>
  <c r="O35" i="7"/>
  <c r="P125" i="9"/>
  <c r="K141" i="9"/>
  <c r="J22" i="1"/>
  <c r="J13" i="7"/>
  <c r="O13" i="7" s="1"/>
  <c r="K103" i="9"/>
  <c r="P103" i="9" s="1"/>
  <c r="K56" i="9"/>
  <c r="P56" i="9" s="1"/>
  <c r="O22" i="1" l="1"/>
  <c r="J29" i="1"/>
  <c r="O29" i="1" s="1"/>
  <c r="J9" i="8"/>
  <c r="O47" i="6"/>
  <c r="J16" i="6"/>
  <c r="O16" i="6" s="1"/>
  <c r="J9" i="6"/>
  <c r="O9" i="6" s="1"/>
  <c r="J31" i="1"/>
  <c r="O31" i="1" s="1"/>
  <c r="J24" i="6" l="1"/>
  <c r="O24" i="6" s="1"/>
  <c r="J20" i="7"/>
  <c r="O20" i="7" s="1"/>
  <c r="O36" i="1"/>
  <c r="J36" i="1"/>
  <c r="J41" i="1" s="1"/>
  <c r="O41" i="1" s="1"/>
  <c r="K59" i="9"/>
  <c r="P59" i="9" s="1"/>
  <c r="K52" i="9"/>
  <c r="P52" i="9" s="1"/>
  <c r="K40" i="9"/>
  <c r="P40" i="9" l="1"/>
  <c r="K45" i="9"/>
  <c r="P45" i="9" s="1"/>
  <c r="K67" i="9"/>
  <c r="J50" i="6"/>
  <c r="J54" i="6" s="1"/>
  <c r="J20" i="8" s="1"/>
  <c r="J17" i="8" s="1"/>
  <c r="K110" i="9"/>
  <c r="P110" i="9" s="1"/>
  <c r="P67" i="9" l="1"/>
  <c r="K46" i="9"/>
  <c r="K50" i="9" s="1"/>
  <c r="K116" i="9"/>
  <c r="P116" i="9" s="1"/>
  <c r="K115" i="9"/>
  <c r="P115" i="9" s="1"/>
  <c r="K29" i="9"/>
  <c r="J25" i="7"/>
  <c r="J26" i="7"/>
  <c r="O26" i="7" s="1"/>
  <c r="K147" i="9"/>
  <c r="J57" i="7"/>
  <c r="P47" i="9"/>
  <c r="M141" i="9"/>
  <c r="P136" i="9"/>
  <c r="P127" i="9"/>
  <c r="P126" i="9"/>
  <c r="L122" i="9"/>
  <c r="M113" i="9"/>
  <c r="L113" i="9"/>
  <c r="L93" i="9" s="1"/>
  <c r="K113" i="9"/>
  <c r="P112" i="9"/>
  <c r="P113" i="9" s="1"/>
  <c r="P69" i="9"/>
  <c r="P79" i="9" s="1"/>
  <c r="O57" i="7" l="1"/>
  <c r="J61" i="7"/>
  <c r="M93" i="9"/>
  <c r="P147" i="9"/>
  <c r="K151" i="9"/>
  <c r="M16" i="9"/>
  <c r="P29" i="9"/>
  <c r="K38" i="9"/>
  <c r="P38" i="9" s="1"/>
  <c r="P15" i="9"/>
  <c r="P141" i="9"/>
  <c r="P122" i="9"/>
  <c r="P151" i="9"/>
  <c r="L96" i="9"/>
  <c r="J32" i="7"/>
  <c r="O25" i="7"/>
  <c r="O32" i="7" s="1"/>
  <c r="K122" i="9"/>
  <c r="L46" i="9"/>
  <c r="L50" i="9" l="1"/>
  <c r="P46" i="9"/>
  <c r="K12" i="9"/>
  <c r="K16" i="9" s="1"/>
  <c r="M96" i="9"/>
  <c r="M11" i="9" s="1"/>
  <c r="K96" i="9"/>
  <c r="K93" i="9"/>
  <c r="P93" i="9" s="1"/>
  <c r="P96" i="9" l="1"/>
  <c r="P12" i="9"/>
  <c r="P16" i="9"/>
  <c r="L11" i="9"/>
  <c r="P50" i="9"/>
  <c r="K11" i="9"/>
  <c r="K7" i="9" s="1"/>
  <c r="P10" i="9"/>
  <c r="M7" i="9" l="1"/>
  <c r="P11" i="9"/>
  <c r="L7" i="9"/>
  <c r="P7" i="9" l="1"/>
  <c r="K32" i="7"/>
  <c r="L32" i="7"/>
  <c r="J37" i="1" l="1"/>
  <c r="O37" i="1" s="1"/>
  <c r="O37" i="7"/>
  <c r="R37" i="7"/>
  <c r="Q37" i="7"/>
  <c r="R36" i="7"/>
  <c r="Q36" i="7"/>
  <c r="O36" i="7"/>
  <c r="L23" i="7"/>
  <c r="K23" i="7"/>
  <c r="K62" i="7" s="1"/>
  <c r="K65" i="7" s="1"/>
  <c r="J23" i="7"/>
  <c r="J62" i="7" s="1"/>
  <c r="J65" i="7" s="1"/>
  <c r="O22" i="7"/>
  <c r="O23" i="7" s="1"/>
  <c r="R16" i="7"/>
  <c r="Q16" i="7"/>
  <c r="R14" i="7"/>
  <c r="L9" i="8"/>
  <c r="K50" i="6"/>
  <c r="K54" i="6" s="1"/>
  <c r="Q4" i="8"/>
  <c r="K19" i="8"/>
  <c r="K9" i="8" l="1"/>
  <c r="O9" i="8" s="1"/>
  <c r="O19" i="8"/>
  <c r="J15" i="8"/>
  <c r="J12" i="8" s="1"/>
  <c r="O12" i="8" s="1"/>
  <c r="L61" i="7"/>
  <c r="O61" i="7" s="1"/>
  <c r="L50" i="6"/>
  <c r="L54" i="6" s="1"/>
  <c r="K20" i="8"/>
  <c r="L62" i="7" l="1"/>
  <c r="L65" i="7" s="1"/>
  <c r="O54" i="6"/>
  <c r="K17" i="8"/>
  <c r="O62" i="7"/>
  <c r="L17" i="8" l="1"/>
  <c r="O17" i="8" s="1"/>
  <c r="O20" i="8"/>
  <c r="L24" i="8"/>
  <c r="O65" i="7"/>
  <c r="K24" i="8"/>
  <c r="L22" i="8" l="1"/>
  <c r="L10" i="8"/>
  <c r="L7" i="8" s="1"/>
  <c r="K10" i="8"/>
  <c r="K7" i="8" s="1"/>
  <c r="K22" i="8"/>
  <c r="O15" i="8" l="1"/>
  <c r="R5" i="8"/>
  <c r="R6" i="8" s="1"/>
  <c r="S5" i="8" l="1"/>
  <c r="S6" i="8" s="1"/>
  <c r="J24" i="8" l="1"/>
  <c r="O24" i="8" s="1"/>
  <c r="J10" i="8" l="1"/>
  <c r="J22" i="8"/>
  <c r="O22" i="8" s="1"/>
  <c r="J7" i="8" l="1"/>
  <c r="O7" i="8" s="1"/>
  <c r="O10" i="8"/>
  <c r="O50" i="6"/>
  <c r="Q5" i="8" l="1"/>
  <c r="Q6" i="8" s="1"/>
</calcChain>
</file>

<file path=xl/sharedStrings.xml><?xml version="1.0" encoding="utf-8"?>
<sst xmlns="http://schemas.openxmlformats.org/spreadsheetml/2006/main" count="1963" uniqueCount="299">
  <si>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</si>
  <si>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</si>
  <si>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</si>
  <si>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</si>
  <si>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</si>
  <si>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</si>
  <si>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</si>
  <si>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</si>
  <si>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</si>
  <si>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</si>
  <si>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</si>
  <si>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</si>
  <si>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</si>
  <si>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</si>
  <si>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</si>
  <si>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</si>
  <si>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</si>
  <si>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</si>
  <si>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</si>
  <si>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</si>
  <si>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</si>
  <si>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</si>
  <si>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</si>
  <si>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</si>
  <si>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</si>
  <si>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</si>
  <si>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</si>
  <si>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</si>
  <si>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</si>
  <si>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</si>
  <si>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</si>
  <si>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</si>
  <si>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</si>
  <si>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</si>
  <si>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</si>
  <si>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</si>
  <si>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</si>
  <si>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</si>
  <si>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</si>
  <si>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</si>
  <si>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</si>
  <si>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</si>
  <si>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</si>
  <si>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</si>
  <si>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</si>
  <si>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</si>
  <si>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</si>
  <si>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</si>
  <si>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</si>
  <si>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</si>
  <si>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</si>
  <si>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</si>
  <si>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</si>
  <si>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</si>
  <si>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</si>
  <si>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</si>
  <si>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</si>
  <si>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</si>
  <si>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</si>
  <si>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</si>
  <si>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</si>
  <si>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</si>
  <si>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</si>
  <si>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</si>
  <si>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</si>
  <si>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</si>
  <si>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</si>
  <si>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</si>
  <si>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</si>
  <si>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</si>
  <si>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</si>
  <si>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</si>
  <si>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</si>
  <si>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</si>
  <si>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</si>
  <si>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</si>
  <si>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</si>
  <si>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</si>
  <si>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</si>
  <si>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</si>
  <si>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</si>
  <si>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</si>
  <si>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</si>
  <si>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</si>
  <si>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</si>
  <si>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</si>
  <si>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</si>
  <si>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</si>
  <si>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</si>
  <si>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</si>
  <si>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</si>
  <si>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</si>
  <si>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</si>
  <si>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</si>
  <si>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</si>
  <si>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</si>
  <si>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</si>
  <si>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</si>
  <si>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</si>
  <si>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</si>
  <si>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</si>
  <si>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</si>
  <si>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</si>
  <si>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</si>
  <si>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</si>
  <si>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</si>
  <si>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</si>
  <si>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</si>
  <si>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</si>
  <si>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</si>
  <si>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</si>
  <si>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</si>
  <si>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</si>
  <si>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</si>
  <si>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</si>
  <si>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</si>
  <si>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</si>
  <si>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</si>
  <si>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</si>
  <si>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</si>
  <si>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</si>
  <si>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</si>
  <si>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</si>
  <si>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</si>
  <si>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</si>
  <si>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</si>
  <si>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</si>
  <si>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</si>
  <si>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</si>
  <si>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"прочие мероприятия" государственной программы Красноярского края "Развитие культуры"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</si>
  <si>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</si>
  <si>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</si>
  <si>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</si>
  <si>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</si>
  <si>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</si>
  <si>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</si>
  <si>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</si>
  <si>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</si>
  <si>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</si>
  <si>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</si>
  <si>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</si>
  <si>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</si>
  <si>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</si>
  <si>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</si>
  <si>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</si>
  <si>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</si>
  <si>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</si>
  <si>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</si>
  <si>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</si>
  <si>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</si>
  <si>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</si>
  <si>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</si>
  <si>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</si>
  <si>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</si>
  <si>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</si>
  <si>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</si>
  <si>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</si>
  <si>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</si>
  <si>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</si>
  <si>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</si>
  <si>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</si>
  <si>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</si>
  <si>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</si>
  <si>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</si>
  <si>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</si>
  <si>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</si>
  <si>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</si>
  <si>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</si>
  <si>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</si>
  <si>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</si>
  <si>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</si>
  <si>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</si>
  <si>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r>
      <rPr>
        <sz val="14"/>
        <color indexed="8"/>
        <rFont val="Times New Roman"/>
        <family val="1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Times New Roman"/>
        <family val="1"/>
        <charset val="204"/>
      </rPr>
      <t xml:space="preserve">
</t>
    </r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</si>
  <si>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</si>
  <si>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Приложение 2                                                                          к паспорту подпрограммы                                                 "Поддержка искусства и народного творчества"</t>
  </si>
  <si>
    <t xml:space="preserve">Приложение 3                                                                   к паспорту муниципальной программы города Бородино "Развитие культуры"
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</si>
  <si>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</si>
  <si>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</si>
  <si>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</si>
  <si>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</si>
  <si>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</si>
  <si>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</si>
  <si>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</si>
  <si>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</si>
  <si>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</si>
  <si>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</si>
  <si>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</si>
  <si>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</si>
  <si>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</si>
  <si>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</si>
  <si>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</si>
  <si>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</si>
  <si>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</si>
  <si>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</si>
  <si>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</si>
  <si>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</si>
  <si>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</si>
  <si>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</si>
  <si>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</si>
  <si>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</si>
  <si>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</si>
  <si>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 xml:space="preserve">Приложение  2                                                                                                                                                                                   к паспорту подпрограммы "Обеспечение условий реализациии муниципальной программы и прочие мероприятия"
          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</si>
  <si>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</si>
  <si>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</si>
  <si>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</si>
  <si>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</si>
  <si>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</si>
  <si>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</si>
  <si>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</si>
  <si>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</si>
  <si>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</si>
  <si>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</si>
  <si>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</si>
  <si>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</si>
  <si>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</si>
  <si>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</si>
  <si>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</si>
  <si>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</si>
  <si>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</si>
  <si>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</si>
  <si>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</si>
  <si>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</si>
  <si>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</si>
  <si>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</si>
  <si>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</si>
  <si>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</si>
  <si>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</si>
  <si>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</si>
  <si>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</si>
  <si>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</si>
  <si>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</si>
  <si>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</si>
  <si>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</si>
  <si>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</si>
  <si>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</si>
  <si>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</si>
  <si>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</si>
  <si>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</si>
  <si>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</si>
  <si>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</si>
  <si>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</si>
  <si>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</si>
  <si>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</si>
  <si>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</si>
  <si>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</si>
  <si>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</si>
  <si>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</si>
  <si>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</si>
  <si>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Итого на 2014 -2018годы</t>
  </si>
  <si>
    <t>Итого на 2014 -2018 годы</t>
  </si>
  <si>
    <t>Итого на 
2014 -2018 годы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</si>
  <si>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</si>
  <si>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</si>
  <si>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</si>
  <si>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</si>
  <si>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</si>
  <si>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</si>
  <si>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</si>
  <si>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</si>
  <si>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</si>
  <si>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</si>
  <si>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</si>
  <si>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</si>
  <si>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</si>
  <si>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</si>
  <si>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</si>
  <si>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</si>
  <si>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</si>
  <si>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</si>
  <si>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</si>
  <si>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</si>
  <si>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</si>
  <si>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</si>
  <si>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</si>
  <si>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</si>
  <si>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</si>
  <si>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</si>
  <si>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</si>
  <si>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</si>
  <si>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</si>
  <si>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</si>
  <si>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</si>
  <si>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</si>
  <si>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</si>
  <si>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</si>
  <si>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</si>
  <si>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</si>
  <si>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</si>
  <si>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1.0.</t>
  </si>
  <si>
    <t>009421П</t>
  </si>
  <si>
    <t>Итого на  
2014-2018 годы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</si>
  <si>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</si>
  <si>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</si>
  <si>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</si>
  <si>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Приложение №5                                                                                                                                         к постановлению администрации города Бородино  от    16.08.2016  №613</t>
  </si>
  <si>
    <t>Приложение № 4                                                                                                                                          к постановлению администрации города Бородино  от  16.08.2016  №613</t>
  </si>
  <si>
    <t>Приложение № 3                                                                        к постановлению администрации города Бородино от16.08.2016  №613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</si>
  <si>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  от 16.08.2016 №  613</t>
  </si>
  <si>
    <r>
      <rPr>
        <sz val="14"/>
        <color indexed="8"/>
        <rFont val="Times New Roman"/>
        <family val="1"/>
        <charset val="204"/>
      </rPr>
      <t>Приложение №2                                                                                          к постановлению администрации города Бородино от 16.08.2016    №613</t>
    </r>
    <r>
      <rPr>
        <sz val="12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</si>
</sst>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  <numFmt numFmtId="167" formatCode="_-* #,##0.00_р_._-;\-* #,##0.00_р_._-;_-* &quot;-&quot;?_р_._-;_-@_-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513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43" fontId="2" fillId="0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6" borderId="1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3" fontId="2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43" fontId="11" fillId="0" borderId="4" xfId="0" applyNumberFormat="1" applyFont="1" applyBorder="1" applyAlignment="1">
      <alignment horizontal="right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1" fillId="8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9" borderId="1" xfId="0" applyNumberFormat="1" applyFont="1" applyFill="1" applyBorder="1" applyAlignment="1">
      <alignment horizontal="center" vertical="top" wrapText="1"/>
    </xf>
    <xf numFmtId="49" fontId="11" fillId="9" borderId="4" xfId="0" applyNumberFormat="1" applyFont="1" applyFill="1" applyBorder="1" applyAlignment="1">
      <alignment horizontal="center" vertical="top" wrapText="1"/>
    </xf>
    <xf numFmtId="49" fontId="11" fillId="9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11" fillId="9" borderId="5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4" fontId="2" fillId="1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10" fillId="8" borderId="4" xfId="0" applyNumberFormat="1" applyFont="1" applyFill="1" applyBorder="1" applyAlignment="1">
      <alignment horizontal="center" vertical="top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top" wrapText="1"/>
    </xf>
    <xf numFmtId="167" fontId="2" fillId="4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 wrapText="1"/>
    </xf>
    <xf numFmtId="43" fontId="17" fillId="2" borderId="1" xfId="0" applyNumberFormat="1" applyFont="1" applyFill="1" applyBorder="1" applyAlignment="1">
      <alignment horizontal="right" vertical="top" wrapText="1"/>
    </xf>
    <xf numFmtId="43" fontId="17" fillId="0" borderId="1" xfId="0" applyNumberFormat="1" applyFont="1" applyFill="1" applyBorder="1" applyAlignment="1">
      <alignment horizontal="righ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165" fontId="17" fillId="0" borderId="1" xfId="0" applyNumberFormat="1" applyFont="1" applyFill="1" applyBorder="1" applyAlignment="1">
      <alignment horizontal="right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3" fontId="10" fillId="2" borderId="1" xfId="0" applyNumberFormat="1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10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10" fillId="2" borderId="1" xfId="0" applyFont="1" applyFill="1" applyBorder="1" applyAlignment="1">
      <alignment wrapText="1"/>
    </xf>
    <xf numFmtId="165" fontId="2" fillId="2" borderId="13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left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2" fillId="0" borderId="7" xfId="0" quotePrefix="1" applyNumberFormat="1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43" fontId="10" fillId="2" borderId="4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top" wrapText="1"/>
    </xf>
    <xf numFmtId="49" fontId="10" fillId="8" borderId="5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14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43" fontId="10" fillId="2" borderId="2" xfId="0" applyNumberFormat="1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left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43" fontId="10" fillId="2" borderId="7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8" borderId="5" xfId="0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10" borderId="1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3" fontId="10" fillId="0" borderId="4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1" xfId="0" quotePrefix="1" applyNumberFormat="1" applyFont="1" applyFill="1" applyBorder="1" applyAlignment="1">
      <alignment horizontal="center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10" fillId="2" borderId="1" xfId="0" quotePrefix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49" fontId="2" fillId="0" borderId="4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49" fontId="11" fillId="8" borderId="4" xfId="0" quotePrefix="1" applyNumberFormat="1" applyFont="1" applyFill="1" applyBorder="1" applyAlignment="1">
      <alignment horizontal="center" vertical="top" wrapText="1"/>
    </xf>
    <xf numFmtId="49" fontId="10" fillId="2" borderId="1" xfId="0" quotePrefix="1" applyNumberFormat="1" applyFont="1" applyFill="1" applyBorder="1" applyAlignment="1">
      <alignment horizontal="center" vertical="top" wrapText="1"/>
    </xf>
    <xf numFmtId="49" fontId="10" fillId="2" borderId="4" xfId="0" quotePrefix="1" applyNumberFormat="1" applyFont="1" applyFill="1" applyBorder="1" applyAlignment="1">
      <alignment horizontal="center" vertical="top" wrapText="1"/>
    </xf>
    <xf numFmtId="43" fontId="2" fillId="0" borderId="0" xfId="0" applyNumberFormat="1" applyFont="1" applyFill="1" applyAlignment="1">
      <alignment vertical="top" wrapText="1"/>
    </xf>
    <xf numFmtId="49" fontId="11" fillId="2" borderId="4" xfId="0" quotePrefix="1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7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165" fontId="17" fillId="0" borderId="7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165" fontId="2" fillId="2" borderId="2" xfId="0" applyNumberFormat="1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0" fontId="10" fillId="2" borderId="3" xfId="0" quotePrefix="1" applyFont="1" applyFill="1" applyBorder="1" applyAlignment="1">
      <alignment horizontal="left" vertical="top" wrapText="1"/>
    </xf>
    <xf numFmtId="0" fontId="10" fillId="2" borderId="7" xfId="0" quotePrefix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0" xfId="3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5" borderId="6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tabSelected="1" view="pageBreakPreview" zoomScale="54" zoomScaleNormal="85" zoomScaleSheetLayoutView="54" workbookViewId="0">
      <selection activeCell="O6" sqref="O6"/>
    </sheetView>
  </sheetViews>
  <sheetFormatPr defaultColWidth="9.140625" defaultRowHeight="15.75" x14ac:dyDescent="0.2"/>
  <cols>
    <col min="1" max="1" width="7.7109375" style="26" customWidth="1"/>
    <col min="2" max="2" width="19.28515625" style="26" customWidth="1"/>
    <col min="3" max="3" width="28.140625" style="23" customWidth="1"/>
    <col min="4" max="4" width="19.28515625" style="23" customWidth="1"/>
    <col min="5" max="6" width="9.140625" style="23"/>
    <col min="7" max="7" width="4.5703125" style="23" customWidth="1"/>
    <col min="8" max="8" width="3" style="23" customWidth="1"/>
    <col min="9" max="9" width="14.140625" style="23" customWidth="1"/>
    <col min="10" max="10" width="9.140625" style="23" customWidth="1"/>
    <col min="11" max="11" width="21.140625" style="23" customWidth="1"/>
    <col min="12" max="12" width="19.5703125" style="23" customWidth="1"/>
    <col min="13" max="14" width="18.7109375" style="23" customWidth="1"/>
    <col min="15" max="15" width="18.7109375" style="308" customWidth="1"/>
    <col min="16" max="16" width="20.28515625" style="23" customWidth="1"/>
    <col min="17" max="17" width="21.140625" style="23" customWidth="1"/>
    <col min="18" max="18" width="35.85546875" style="23" customWidth="1"/>
    <col min="19" max="20" width="9.140625" style="23"/>
    <col min="21" max="21" width="10.42578125" style="23" bestFit="1" customWidth="1"/>
    <col min="22" max="16384" width="9.140625" style="23"/>
  </cols>
  <sheetData>
    <row r="1" spans="1:21" ht="80.25" customHeight="1" x14ac:dyDescent="0.2">
      <c r="N1" s="393" t="s">
        <v>298</v>
      </c>
      <c r="O1" s="393"/>
      <c r="P1" s="393"/>
      <c r="Q1" s="393"/>
    </row>
    <row r="2" spans="1:21" ht="87.75" customHeight="1" x14ac:dyDescent="0.2">
      <c r="F2" s="399"/>
      <c r="G2" s="400"/>
      <c r="H2" s="400"/>
      <c r="L2" s="178"/>
      <c r="M2" s="178"/>
      <c r="N2" s="402" t="s">
        <v>175</v>
      </c>
      <c r="O2" s="402"/>
      <c r="P2" s="402"/>
      <c r="Q2" s="402"/>
      <c r="R2" s="126"/>
    </row>
    <row r="3" spans="1:21" ht="53.25" customHeight="1" x14ac:dyDescent="0.2">
      <c r="A3" s="401" t="s">
        <v>198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129"/>
    </row>
    <row r="4" spans="1:21" x14ac:dyDescent="0.2">
      <c r="F4" s="7"/>
      <c r="G4" s="6" t="s">
        <v>29</v>
      </c>
      <c r="H4" s="7">
        <v>1</v>
      </c>
      <c r="I4" s="7"/>
    </row>
    <row r="5" spans="1:21" ht="18" customHeight="1" x14ac:dyDescent="0.2">
      <c r="A5" s="419" t="s">
        <v>3</v>
      </c>
      <c r="B5" s="388" t="s">
        <v>208</v>
      </c>
      <c r="C5" s="420" t="s">
        <v>291</v>
      </c>
      <c r="D5" s="387" t="s">
        <v>234</v>
      </c>
      <c r="E5" s="387" t="s">
        <v>4</v>
      </c>
      <c r="F5" s="387"/>
      <c r="G5" s="387"/>
      <c r="H5" s="387"/>
      <c r="I5" s="387"/>
      <c r="J5" s="387"/>
      <c r="K5" s="390" t="s">
        <v>229</v>
      </c>
      <c r="L5" s="391"/>
      <c r="M5" s="391"/>
      <c r="N5" s="391"/>
      <c r="O5" s="391"/>
      <c r="P5" s="392"/>
      <c r="Q5" s="387" t="s">
        <v>5</v>
      </c>
      <c r="U5" s="23">
        <v>12000000</v>
      </c>
    </row>
    <row r="6" spans="1:21" ht="83.25" customHeight="1" x14ac:dyDescent="0.2">
      <c r="A6" s="419"/>
      <c r="B6" s="389"/>
      <c r="C6" s="421"/>
      <c r="D6" s="387"/>
      <c r="E6" s="127" t="s">
        <v>6</v>
      </c>
      <c r="F6" s="127" t="s">
        <v>7</v>
      </c>
      <c r="G6" s="390" t="s">
        <v>8</v>
      </c>
      <c r="H6" s="391"/>
      <c r="I6" s="392"/>
      <c r="J6" s="127" t="s">
        <v>9</v>
      </c>
      <c r="K6" s="127" t="s">
        <v>10</v>
      </c>
      <c r="L6" s="127" t="s">
        <v>11</v>
      </c>
      <c r="M6" s="127" t="s">
        <v>12</v>
      </c>
      <c r="N6" s="154" t="s">
        <v>160</v>
      </c>
      <c r="O6" s="307" t="s">
        <v>247</v>
      </c>
      <c r="P6" s="307" t="s">
        <v>250</v>
      </c>
      <c r="Q6" s="387"/>
      <c r="U6" s="23">
        <v>340000</v>
      </c>
    </row>
    <row r="7" spans="1:21" ht="49.5" customHeight="1" x14ac:dyDescent="0.2">
      <c r="A7" s="438"/>
      <c r="B7" s="435" t="s">
        <v>76</v>
      </c>
      <c r="C7" s="439" t="s">
        <v>181</v>
      </c>
      <c r="D7" s="251" t="s">
        <v>142</v>
      </c>
      <c r="E7" s="252" t="s">
        <v>48</v>
      </c>
      <c r="F7" s="252" t="s">
        <v>48</v>
      </c>
      <c r="G7" s="252" t="s">
        <v>48</v>
      </c>
      <c r="H7" s="252" t="s">
        <v>48</v>
      </c>
      <c r="I7" s="252" t="s">
        <v>48</v>
      </c>
      <c r="J7" s="252" t="s">
        <v>48</v>
      </c>
      <c r="K7" s="253">
        <f>SUM(K9:K11)</f>
        <v>65340733.63000001</v>
      </c>
      <c r="L7" s="253">
        <f>SUM(L9:L11)</f>
        <v>59975697.280000001</v>
      </c>
      <c r="M7" s="253">
        <f>SUM(M9:M11)</f>
        <v>56772129.109999992</v>
      </c>
      <c r="N7" s="253">
        <f>SUM(N9:N11)</f>
        <v>54739363.559999995</v>
      </c>
      <c r="O7" s="253">
        <f>SUM(O9:O11)</f>
        <v>54736863.559999995</v>
      </c>
      <c r="P7" s="253">
        <f>SUM(K7:O7)</f>
        <v>291564787.13999999</v>
      </c>
      <c r="Q7" s="212"/>
      <c r="U7" s="23">
        <v>320000</v>
      </c>
    </row>
    <row r="8" spans="1:21" ht="20.25" customHeight="1" x14ac:dyDescent="0.2">
      <c r="A8" s="409"/>
      <c r="B8" s="412"/>
      <c r="C8" s="417"/>
      <c r="D8" s="222" t="s">
        <v>25</v>
      </c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3">
        <f t="shared" ref="P8:P16" si="0">SUM(K8:O8)</f>
        <v>0</v>
      </c>
      <c r="Q8" s="212"/>
      <c r="U8" s="23">
        <v>430000</v>
      </c>
    </row>
    <row r="9" spans="1:21" ht="65.25" customHeight="1" x14ac:dyDescent="0.2">
      <c r="A9" s="409"/>
      <c r="B9" s="412"/>
      <c r="C9" s="417"/>
      <c r="D9" s="222" t="s">
        <v>195</v>
      </c>
      <c r="E9" s="254" t="s">
        <v>48</v>
      </c>
      <c r="F9" s="256" t="s">
        <v>48</v>
      </c>
      <c r="G9" s="256" t="s">
        <v>48</v>
      </c>
      <c r="H9" s="256" t="s">
        <v>48</v>
      </c>
      <c r="I9" s="256" t="s">
        <v>48</v>
      </c>
      <c r="J9" s="256" t="s">
        <v>48</v>
      </c>
      <c r="K9" s="213">
        <v>6181600</v>
      </c>
      <c r="L9" s="213">
        <f>L14</f>
        <v>3000</v>
      </c>
      <c r="M9" s="213">
        <f>2500-300</f>
        <v>2200</v>
      </c>
      <c r="N9" s="213">
        <v>2500</v>
      </c>
      <c r="O9" s="213">
        <f t="shared" ref="O9" si="1">O14</f>
        <v>0</v>
      </c>
      <c r="P9" s="253">
        <f t="shared" si="0"/>
        <v>6189300</v>
      </c>
      <c r="Q9" s="212"/>
    </row>
    <row r="10" spans="1:21" ht="54" customHeight="1" x14ac:dyDescent="0.2">
      <c r="A10" s="409"/>
      <c r="B10" s="412"/>
      <c r="C10" s="417"/>
      <c r="D10" s="222" t="s">
        <v>196</v>
      </c>
      <c r="E10" s="254" t="s">
        <v>48</v>
      </c>
      <c r="F10" s="256" t="s">
        <v>48</v>
      </c>
      <c r="G10" s="256" t="s">
        <v>48</v>
      </c>
      <c r="H10" s="256" t="s">
        <v>48</v>
      </c>
      <c r="I10" s="256" t="s">
        <v>48</v>
      </c>
      <c r="J10" s="256" t="s">
        <v>48</v>
      </c>
      <c r="K10" s="213">
        <f t="shared" ref="K10:M11" si="2">K15+K49+K95</f>
        <v>4022906.0900000003</v>
      </c>
      <c r="L10" s="213">
        <f t="shared" si="2"/>
        <v>3072008.16</v>
      </c>
      <c r="M10" s="213">
        <f t="shared" si="2"/>
        <v>1397694.4400000002</v>
      </c>
      <c r="N10" s="213"/>
      <c r="O10" s="213"/>
      <c r="P10" s="253">
        <f t="shared" si="0"/>
        <v>8492608.6899999995</v>
      </c>
      <c r="Q10" s="212"/>
      <c r="U10" s="23">
        <v>400000</v>
      </c>
    </row>
    <row r="11" spans="1:21" ht="63" customHeight="1" x14ac:dyDescent="0.2">
      <c r="A11" s="410"/>
      <c r="B11" s="413"/>
      <c r="C11" s="418"/>
      <c r="D11" s="222" t="s">
        <v>197</v>
      </c>
      <c r="E11" s="254" t="s">
        <v>48</v>
      </c>
      <c r="F11" s="256" t="s">
        <v>48</v>
      </c>
      <c r="G11" s="256" t="s">
        <v>48</v>
      </c>
      <c r="H11" s="256" t="s">
        <v>48</v>
      </c>
      <c r="I11" s="256" t="s">
        <v>48</v>
      </c>
      <c r="J11" s="256" t="s">
        <v>48</v>
      </c>
      <c r="K11" s="213">
        <f t="shared" si="2"/>
        <v>55136227.540000007</v>
      </c>
      <c r="L11" s="213">
        <f t="shared" si="2"/>
        <v>56900689.119999997</v>
      </c>
      <c r="M11" s="213">
        <f t="shared" si="2"/>
        <v>55372234.669999994</v>
      </c>
      <c r="N11" s="213">
        <f>N16+N50+N96</f>
        <v>54736863.559999995</v>
      </c>
      <c r="O11" s="213">
        <f>O16+O50+O96</f>
        <v>54736863.559999995</v>
      </c>
      <c r="P11" s="253">
        <f t="shared" si="0"/>
        <v>276882878.44999999</v>
      </c>
      <c r="Q11" s="212"/>
      <c r="R11" s="338"/>
      <c r="U11" s="23">
        <f>SUM(U5:U10)</f>
        <v>13490000</v>
      </c>
    </row>
    <row r="12" spans="1:21" ht="48.75" customHeight="1" x14ac:dyDescent="0.2">
      <c r="A12" s="403" t="s">
        <v>13</v>
      </c>
      <c r="B12" s="411" t="s">
        <v>49</v>
      </c>
      <c r="C12" s="414" t="s">
        <v>143</v>
      </c>
      <c r="D12" s="222" t="s">
        <v>142</v>
      </c>
      <c r="E12" s="254"/>
      <c r="F12" s="254"/>
      <c r="G12" s="254"/>
      <c r="H12" s="254"/>
      <c r="I12" s="254"/>
      <c r="J12" s="254"/>
      <c r="K12" s="213">
        <f>K38+K45</f>
        <v>9957712.459999999</v>
      </c>
      <c r="L12" s="213">
        <f>L38+L45</f>
        <v>10484619.77</v>
      </c>
      <c r="M12" s="213">
        <f>M38+M45</f>
        <v>9854919.2000000011</v>
      </c>
      <c r="N12" s="213">
        <f>N38+N45</f>
        <v>9743334.1699999999</v>
      </c>
      <c r="O12" s="213">
        <f>O38+O45</f>
        <v>9740834.1699999999</v>
      </c>
      <c r="P12" s="253">
        <f t="shared" si="0"/>
        <v>49781419.770000003</v>
      </c>
      <c r="Q12" s="212"/>
    </row>
    <row r="13" spans="1:21" ht="20.25" customHeight="1" x14ac:dyDescent="0.2">
      <c r="A13" s="409"/>
      <c r="B13" s="412"/>
      <c r="C13" s="417"/>
      <c r="D13" s="222" t="s">
        <v>25</v>
      </c>
      <c r="E13" s="254"/>
      <c r="F13" s="254"/>
      <c r="G13" s="254"/>
      <c r="H13" s="254"/>
      <c r="I13" s="254"/>
      <c r="J13" s="254"/>
      <c r="K13" s="213"/>
      <c r="L13" s="254"/>
      <c r="M13" s="254"/>
      <c r="N13" s="254"/>
      <c r="O13" s="254"/>
      <c r="P13" s="253">
        <f t="shared" si="0"/>
        <v>0</v>
      </c>
      <c r="Q13" s="212"/>
    </row>
    <row r="14" spans="1:21" ht="51.75" customHeight="1" x14ac:dyDescent="0.2">
      <c r="A14" s="409"/>
      <c r="B14" s="412"/>
      <c r="C14" s="417"/>
      <c r="D14" s="222" t="s">
        <v>195</v>
      </c>
      <c r="E14" s="254" t="s">
        <v>48</v>
      </c>
      <c r="F14" s="256" t="s">
        <v>48</v>
      </c>
      <c r="G14" s="256" t="s">
        <v>48</v>
      </c>
      <c r="H14" s="256" t="s">
        <v>48</v>
      </c>
      <c r="I14" s="256" t="s">
        <v>48</v>
      </c>
      <c r="J14" s="256" t="s">
        <v>48</v>
      </c>
      <c r="K14" s="213">
        <v>0</v>
      </c>
      <c r="L14" s="213">
        <f>L32</f>
        <v>3000</v>
      </c>
      <c r="M14" s="213">
        <f>M32</f>
        <v>2200</v>
      </c>
      <c r="N14" s="213">
        <f>N32</f>
        <v>2500</v>
      </c>
      <c r="O14" s="213">
        <f>O32</f>
        <v>0</v>
      </c>
      <c r="P14" s="253">
        <f t="shared" si="0"/>
        <v>7700</v>
      </c>
      <c r="Q14" s="212"/>
    </row>
    <row r="15" spans="1:21" ht="55.5" customHeight="1" x14ac:dyDescent="0.2">
      <c r="A15" s="409"/>
      <c r="B15" s="412"/>
      <c r="C15" s="417"/>
      <c r="D15" s="222" t="s">
        <v>196</v>
      </c>
      <c r="E15" s="254" t="s">
        <v>48</v>
      </c>
      <c r="F15" s="254" t="s">
        <v>48</v>
      </c>
      <c r="G15" s="254" t="s">
        <v>48</v>
      </c>
      <c r="H15" s="254" t="s">
        <v>48</v>
      </c>
      <c r="I15" s="254" t="s">
        <v>48</v>
      </c>
      <c r="J15" s="254" t="s">
        <v>48</v>
      </c>
      <c r="K15" s="213">
        <f>303924-6800+17407.21</f>
        <v>314531.21000000002</v>
      </c>
      <c r="L15" s="213">
        <f>L23+L41+L31+L24</f>
        <v>329979.43</v>
      </c>
      <c r="M15" s="213">
        <f>M31+M23+M24+M41+M27+M28</f>
        <v>93425.03</v>
      </c>
      <c r="N15" s="213"/>
      <c r="O15" s="213"/>
      <c r="P15" s="253">
        <f t="shared" si="0"/>
        <v>737935.67</v>
      </c>
      <c r="Q15" s="212"/>
    </row>
    <row r="16" spans="1:21" ht="64.5" customHeight="1" x14ac:dyDescent="0.2">
      <c r="A16" s="410"/>
      <c r="B16" s="413"/>
      <c r="C16" s="418"/>
      <c r="D16" s="222" t="s">
        <v>197</v>
      </c>
      <c r="E16" s="254" t="s">
        <v>48</v>
      </c>
      <c r="F16" s="254" t="s">
        <v>48</v>
      </c>
      <c r="G16" s="254" t="s">
        <v>48</v>
      </c>
      <c r="H16" s="254" t="s">
        <v>48</v>
      </c>
      <c r="I16" s="254" t="s">
        <v>48</v>
      </c>
      <c r="J16" s="254" t="s">
        <v>48</v>
      </c>
      <c r="K16" s="213">
        <f>K12-K15</f>
        <v>9643181.2499999981</v>
      </c>
      <c r="L16" s="213">
        <f>L12-L15-L14</f>
        <v>10151640.34</v>
      </c>
      <c r="M16" s="213">
        <f>M12-M15-M14</f>
        <v>9759294.1700000018</v>
      </c>
      <c r="N16" s="213">
        <f>N12-N15-N14</f>
        <v>9740834.1699999999</v>
      </c>
      <c r="O16" s="213">
        <f t="shared" ref="O16" si="3">O12-O15-O14</f>
        <v>9740834.1699999999</v>
      </c>
      <c r="P16" s="253">
        <f t="shared" si="0"/>
        <v>49035784.100000001</v>
      </c>
      <c r="Q16" s="212"/>
    </row>
    <row r="17" spans="1:18" ht="18.75" customHeight="1" x14ac:dyDescent="0.2">
      <c r="A17" s="114" t="s">
        <v>13</v>
      </c>
      <c r="B17" s="118"/>
      <c r="C17" s="428" t="s">
        <v>68</v>
      </c>
      <c r="D17" s="429"/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30"/>
      <c r="Q17" s="212"/>
    </row>
    <row r="18" spans="1:18" ht="29.25" customHeight="1" x14ac:dyDescent="0.2">
      <c r="A18" s="411" t="s">
        <v>30</v>
      </c>
      <c r="B18" s="208"/>
      <c r="C18" s="431" t="s">
        <v>119</v>
      </c>
      <c r="D18" s="222" t="s">
        <v>56</v>
      </c>
      <c r="E18" s="148" t="s">
        <v>74</v>
      </c>
      <c r="F18" s="148" t="s">
        <v>27</v>
      </c>
      <c r="G18" s="257" t="s">
        <v>77</v>
      </c>
      <c r="H18" s="151">
        <v>1</v>
      </c>
      <c r="I18" s="30" t="s">
        <v>252</v>
      </c>
      <c r="J18" s="336" t="s">
        <v>79</v>
      </c>
      <c r="K18" s="202">
        <v>4736588.21</v>
      </c>
      <c r="L18" s="202">
        <f>4807782.33-88</f>
        <v>4807694.33</v>
      </c>
      <c r="M18" s="202">
        <f>4781262.36+141345.47-12.98</f>
        <v>4922594.8499999996</v>
      </c>
      <c r="N18" s="202">
        <v>4922607.83</v>
      </c>
      <c r="O18" s="202">
        <f>N18</f>
        <v>4922607.83</v>
      </c>
      <c r="P18" s="202">
        <f>SUM(K18:O18)</f>
        <v>24312093.049999997</v>
      </c>
      <c r="Q18" s="422" t="s">
        <v>82</v>
      </c>
    </row>
    <row r="19" spans="1:18" s="321" customFormat="1" ht="29.25" customHeight="1" x14ac:dyDescent="0.2">
      <c r="A19" s="436"/>
      <c r="B19" s="325"/>
      <c r="C19" s="432"/>
      <c r="D19" s="222" t="s">
        <v>56</v>
      </c>
      <c r="E19" s="149" t="s">
        <v>74</v>
      </c>
      <c r="F19" s="149" t="s">
        <v>27</v>
      </c>
      <c r="G19" s="150" t="s">
        <v>77</v>
      </c>
      <c r="H19" s="151">
        <v>1</v>
      </c>
      <c r="I19" s="30" t="s">
        <v>252</v>
      </c>
      <c r="J19" s="337" t="s">
        <v>286</v>
      </c>
      <c r="K19" s="202">
        <v>1430437.95</v>
      </c>
      <c r="L19" s="202">
        <v>1451923.68</v>
      </c>
      <c r="M19" s="202">
        <f>1443941.23+42686.34-3.92</f>
        <v>1486623.6500000001</v>
      </c>
      <c r="N19" s="202">
        <v>1486627.57</v>
      </c>
      <c r="O19" s="202">
        <f>N19</f>
        <v>1486627.57</v>
      </c>
      <c r="P19" s="202">
        <f>SUM(K19:O19)</f>
        <v>7342240.4200000009</v>
      </c>
      <c r="Q19" s="423"/>
    </row>
    <row r="20" spans="1:18" s="189" customFormat="1" ht="29.25" customHeight="1" x14ac:dyDescent="0.2">
      <c r="A20" s="436"/>
      <c r="B20" s="214"/>
      <c r="C20" s="432"/>
      <c r="D20" s="222" t="s">
        <v>56</v>
      </c>
      <c r="E20" s="149" t="s">
        <v>74</v>
      </c>
      <c r="F20" s="149" t="s">
        <v>27</v>
      </c>
      <c r="G20" s="150" t="s">
        <v>77</v>
      </c>
      <c r="H20" s="151">
        <v>1</v>
      </c>
      <c r="I20" s="313" t="s">
        <v>252</v>
      </c>
      <c r="J20" s="149" t="s">
        <v>128</v>
      </c>
      <c r="K20" s="202"/>
      <c r="L20" s="202">
        <v>1560</v>
      </c>
      <c r="M20" s="202">
        <v>1560</v>
      </c>
      <c r="N20" s="202">
        <v>1560</v>
      </c>
      <c r="O20" s="202">
        <v>1560</v>
      </c>
      <c r="P20" s="202">
        <f t="shared" ref="P20:P37" si="4">SUM(K20:O20)</f>
        <v>6240</v>
      </c>
      <c r="Q20" s="423"/>
    </row>
    <row r="21" spans="1:18" ht="27" customHeight="1" x14ac:dyDescent="0.2">
      <c r="A21" s="436"/>
      <c r="B21" s="214"/>
      <c r="C21" s="432"/>
      <c r="D21" s="222" t="s">
        <v>56</v>
      </c>
      <c r="E21" s="149" t="s">
        <v>74</v>
      </c>
      <c r="F21" s="149" t="s">
        <v>27</v>
      </c>
      <c r="G21" s="150" t="s">
        <v>77</v>
      </c>
      <c r="H21" s="151">
        <v>1</v>
      </c>
      <c r="I21" s="313" t="s">
        <v>252</v>
      </c>
      <c r="J21" s="149" t="s">
        <v>28</v>
      </c>
      <c r="K21" s="202">
        <f>1019485-3.2+1687.2</f>
        <v>1021169</v>
      </c>
      <c r="L21" s="202">
        <f>1027352.04-3300-6800</f>
        <v>1017252.04</v>
      </c>
      <c r="M21" s="153">
        <f>1047383+9060-4206-94</f>
        <v>1052143</v>
      </c>
      <c r="N21" s="202">
        <f>1047383</f>
        <v>1047383</v>
      </c>
      <c r="O21" s="202">
        <f>N21</f>
        <v>1047383</v>
      </c>
      <c r="P21" s="202">
        <f t="shared" si="4"/>
        <v>5185330.04</v>
      </c>
      <c r="Q21" s="423"/>
      <c r="R21" s="23" t="s">
        <v>205</v>
      </c>
    </row>
    <row r="22" spans="1:18" ht="27" customHeight="1" x14ac:dyDescent="0.2">
      <c r="A22" s="436"/>
      <c r="B22" s="214"/>
      <c r="C22" s="432"/>
      <c r="D22" s="222" t="s">
        <v>56</v>
      </c>
      <c r="E22" s="148" t="s">
        <v>74</v>
      </c>
      <c r="F22" s="149" t="s">
        <v>27</v>
      </c>
      <c r="G22" s="150" t="s">
        <v>77</v>
      </c>
      <c r="H22" s="151">
        <v>1</v>
      </c>
      <c r="I22" s="313" t="s">
        <v>252</v>
      </c>
      <c r="J22" s="149" t="s">
        <v>127</v>
      </c>
      <c r="K22" s="258">
        <v>150</v>
      </c>
      <c r="L22" s="258">
        <v>160</v>
      </c>
      <c r="M22" s="258">
        <v>160</v>
      </c>
      <c r="N22" s="258">
        <v>160</v>
      </c>
      <c r="O22" s="258">
        <v>160</v>
      </c>
      <c r="P22" s="202">
        <f t="shared" si="4"/>
        <v>790</v>
      </c>
      <c r="Q22" s="423"/>
    </row>
    <row r="23" spans="1:18" ht="127.5" customHeight="1" x14ac:dyDescent="0.2">
      <c r="A23" s="436"/>
      <c r="B23" s="214"/>
      <c r="C23" s="425" t="s">
        <v>139</v>
      </c>
      <c r="D23" s="222" t="s">
        <v>56</v>
      </c>
      <c r="E23" s="148" t="s">
        <v>74</v>
      </c>
      <c r="F23" s="149" t="s">
        <v>27</v>
      </c>
      <c r="G23" s="150" t="s">
        <v>77</v>
      </c>
      <c r="H23" s="151">
        <v>1</v>
      </c>
      <c r="I23" s="316" t="s">
        <v>260</v>
      </c>
      <c r="J23" s="337" t="s">
        <v>79</v>
      </c>
      <c r="K23" s="258">
        <v>129363.95</v>
      </c>
      <c r="L23" s="258">
        <f>87047.1+46225.91</f>
        <v>133273.01</v>
      </c>
      <c r="M23" s="258">
        <v>15604.58</v>
      </c>
      <c r="N23" s="258"/>
      <c r="O23" s="258"/>
      <c r="P23" s="202">
        <f t="shared" si="4"/>
        <v>278241.54000000004</v>
      </c>
      <c r="Q23" s="423"/>
    </row>
    <row r="24" spans="1:18" s="321" customFormat="1" ht="127.5" customHeight="1" x14ac:dyDescent="0.2">
      <c r="A24" s="436"/>
      <c r="B24" s="325"/>
      <c r="C24" s="427"/>
      <c r="D24" s="222" t="s">
        <v>56</v>
      </c>
      <c r="E24" s="148" t="s">
        <v>74</v>
      </c>
      <c r="F24" s="149" t="s">
        <v>27</v>
      </c>
      <c r="G24" s="150" t="s">
        <v>77</v>
      </c>
      <c r="H24" s="151">
        <v>1</v>
      </c>
      <c r="I24" s="316" t="s">
        <v>260</v>
      </c>
      <c r="J24" s="337" t="s">
        <v>286</v>
      </c>
      <c r="K24" s="258">
        <v>39067.919999999998</v>
      </c>
      <c r="L24" s="258">
        <f>26288.22+13960.23</f>
        <v>40248.449999999997</v>
      </c>
      <c r="M24" s="258">
        <v>4712.58</v>
      </c>
      <c r="N24" s="258"/>
      <c r="O24" s="258"/>
      <c r="P24" s="202">
        <f t="shared" si="4"/>
        <v>84028.95</v>
      </c>
      <c r="Q24" s="423"/>
    </row>
    <row r="25" spans="1:18" ht="143.25" customHeight="1" x14ac:dyDescent="0.2">
      <c r="A25" s="437"/>
      <c r="B25" s="216"/>
      <c r="C25" s="215" t="s">
        <v>140</v>
      </c>
      <c r="D25" s="128" t="s">
        <v>56</v>
      </c>
      <c r="E25" s="104" t="s">
        <v>74</v>
      </c>
      <c r="F25" s="105" t="s">
        <v>27</v>
      </c>
      <c r="G25" s="106" t="s">
        <v>77</v>
      </c>
      <c r="H25" s="107">
        <v>1</v>
      </c>
      <c r="I25" s="105" t="s">
        <v>261</v>
      </c>
      <c r="J25" s="114" t="s">
        <v>79</v>
      </c>
      <c r="K25" s="133">
        <v>1306.71</v>
      </c>
      <c r="L25" s="133">
        <f>1371.86+88</f>
        <v>1459.86</v>
      </c>
      <c r="M25" s="133">
        <f>12.98</f>
        <v>12.98</v>
      </c>
      <c r="N25" s="133"/>
      <c r="O25" s="133"/>
      <c r="P25" s="202">
        <f t="shared" si="4"/>
        <v>2779.5499999999997</v>
      </c>
      <c r="Q25" s="424"/>
    </row>
    <row r="26" spans="1:18" s="342" customFormat="1" ht="143.25" customHeight="1" x14ac:dyDescent="0.2">
      <c r="A26" s="340"/>
      <c r="B26" s="340"/>
      <c r="C26" s="215" t="s">
        <v>140</v>
      </c>
      <c r="D26" s="128" t="s">
        <v>56</v>
      </c>
      <c r="E26" s="104" t="s">
        <v>74</v>
      </c>
      <c r="F26" s="105" t="s">
        <v>27</v>
      </c>
      <c r="G26" s="106" t="s">
        <v>77</v>
      </c>
      <c r="H26" s="107">
        <v>1</v>
      </c>
      <c r="I26" s="105" t="s">
        <v>261</v>
      </c>
      <c r="J26" s="114" t="s">
        <v>286</v>
      </c>
      <c r="K26" s="133">
        <v>394.63</v>
      </c>
      <c r="L26" s="133">
        <f>414.3+26.58</f>
        <v>440.88</v>
      </c>
      <c r="M26" s="133">
        <f>3.92</f>
        <v>3.92</v>
      </c>
      <c r="N26" s="133"/>
      <c r="O26" s="133"/>
      <c r="P26" s="202">
        <f t="shared" ref="P26" si="5">SUM(K26:O26)</f>
        <v>839.43</v>
      </c>
      <c r="Q26" s="341"/>
    </row>
    <row r="27" spans="1:18" s="376" customFormat="1" ht="143.25" customHeight="1" x14ac:dyDescent="0.2">
      <c r="A27" s="381"/>
      <c r="B27" s="380"/>
      <c r="C27" s="379" t="s">
        <v>141</v>
      </c>
      <c r="D27" s="3" t="s">
        <v>56</v>
      </c>
      <c r="E27" s="73" t="s">
        <v>74</v>
      </c>
      <c r="F27" s="74" t="s">
        <v>27</v>
      </c>
      <c r="G27" s="75" t="s">
        <v>77</v>
      </c>
      <c r="H27" s="77">
        <v>1</v>
      </c>
      <c r="I27" s="74" t="s">
        <v>267</v>
      </c>
      <c r="J27" s="378" t="s">
        <v>79</v>
      </c>
      <c r="K27" s="78"/>
      <c r="L27" s="78"/>
      <c r="M27" s="78">
        <f>18857.99</f>
        <v>18857.990000000002</v>
      </c>
      <c r="N27" s="78"/>
      <c r="O27" s="78"/>
      <c r="P27" s="78">
        <f t="shared" ref="P27:P28" si="6">K27+L27+M27+N27+O27</f>
        <v>18857.990000000002</v>
      </c>
      <c r="Q27" s="385"/>
    </row>
    <row r="28" spans="1:18" s="376" customFormat="1" ht="143.25" customHeight="1" x14ac:dyDescent="0.2">
      <c r="A28" s="381"/>
      <c r="B28" s="380"/>
      <c r="C28" s="384" t="s">
        <v>141</v>
      </c>
      <c r="D28" s="3" t="s">
        <v>56</v>
      </c>
      <c r="E28" s="73" t="s">
        <v>74</v>
      </c>
      <c r="F28" s="74" t="s">
        <v>27</v>
      </c>
      <c r="G28" s="75" t="s">
        <v>77</v>
      </c>
      <c r="H28" s="77">
        <v>1</v>
      </c>
      <c r="I28" s="74" t="s">
        <v>267</v>
      </c>
      <c r="J28" s="378" t="s">
        <v>286</v>
      </c>
      <c r="K28" s="78"/>
      <c r="L28" s="78"/>
      <c r="M28" s="78">
        <v>5695.12</v>
      </c>
      <c r="N28" s="78"/>
      <c r="O28" s="78"/>
      <c r="P28" s="78">
        <f t="shared" si="6"/>
        <v>5695.12</v>
      </c>
      <c r="Q28" s="385"/>
    </row>
    <row r="29" spans="1:18" ht="83.25" customHeight="1" x14ac:dyDescent="0.2">
      <c r="A29" s="217" t="s">
        <v>54</v>
      </c>
      <c r="B29" s="218"/>
      <c r="C29" s="219" t="s">
        <v>120</v>
      </c>
      <c r="D29" s="128" t="s">
        <v>56</v>
      </c>
      <c r="E29" s="114" t="s">
        <v>74</v>
      </c>
      <c r="F29" s="114" t="s">
        <v>27</v>
      </c>
      <c r="G29" s="118" t="s">
        <v>77</v>
      </c>
      <c r="H29" s="119">
        <v>1</v>
      </c>
      <c r="I29" s="42" t="s">
        <v>253</v>
      </c>
      <c r="J29" s="114" t="s">
        <v>28</v>
      </c>
      <c r="K29" s="133">
        <f>5560+230+1160</f>
        <v>6950</v>
      </c>
      <c r="L29" s="133">
        <f>6120+236+6800</f>
        <v>13156</v>
      </c>
      <c r="M29" s="133">
        <f>13700</f>
        <v>13700</v>
      </c>
      <c r="N29" s="133">
        <v>0</v>
      </c>
      <c r="O29" s="133">
        <v>0</v>
      </c>
      <c r="P29" s="202">
        <f>SUM(K29:O29)</f>
        <v>33806</v>
      </c>
      <c r="Q29" s="220" t="s">
        <v>162</v>
      </c>
    </row>
    <row r="30" spans="1:18" ht="79.5" customHeight="1" x14ac:dyDescent="0.2">
      <c r="A30" s="221" t="s">
        <v>57</v>
      </c>
      <c r="B30" s="221"/>
      <c r="C30" s="219" t="s">
        <v>121</v>
      </c>
      <c r="D30" s="128" t="s">
        <v>56</v>
      </c>
      <c r="E30" s="104" t="s">
        <v>74</v>
      </c>
      <c r="F30" s="105" t="s">
        <v>27</v>
      </c>
      <c r="G30" s="106" t="s">
        <v>77</v>
      </c>
      <c r="H30" s="107">
        <v>1</v>
      </c>
      <c r="I30" s="108" t="s">
        <v>251</v>
      </c>
      <c r="J30" s="105" t="s">
        <v>28</v>
      </c>
      <c r="K30" s="133">
        <v>370000</v>
      </c>
      <c r="L30" s="133">
        <v>370000</v>
      </c>
      <c r="M30" s="133">
        <v>0</v>
      </c>
      <c r="N30" s="133">
        <v>0</v>
      </c>
      <c r="O30" s="133">
        <v>0</v>
      </c>
      <c r="P30" s="202">
        <f t="shared" si="4"/>
        <v>740000</v>
      </c>
      <c r="Q30" s="220"/>
    </row>
    <row r="31" spans="1:18" ht="177" customHeight="1" x14ac:dyDescent="0.2">
      <c r="A31" s="221" t="s">
        <v>103</v>
      </c>
      <c r="B31" s="221"/>
      <c r="C31" s="259" t="s">
        <v>129</v>
      </c>
      <c r="D31" s="222" t="s">
        <v>56</v>
      </c>
      <c r="E31" s="148" t="s">
        <v>74</v>
      </c>
      <c r="F31" s="149" t="s">
        <v>27</v>
      </c>
      <c r="G31" s="150" t="s">
        <v>77</v>
      </c>
      <c r="H31" s="151">
        <v>1</v>
      </c>
      <c r="I31" s="152" t="s">
        <v>262</v>
      </c>
      <c r="J31" s="149" t="s">
        <v>28</v>
      </c>
      <c r="K31" s="202">
        <f>27800-6800</f>
        <v>21000</v>
      </c>
      <c r="L31" s="202">
        <f>30600-7700+27200</f>
        <v>50100</v>
      </c>
      <c r="M31" s="153">
        <v>41100</v>
      </c>
      <c r="N31" s="202"/>
      <c r="O31" s="202"/>
      <c r="P31" s="202">
        <f>SUM(K31:O31)</f>
        <v>112200</v>
      </c>
      <c r="Q31" s="220"/>
    </row>
    <row r="32" spans="1:18" ht="131.25" customHeight="1" x14ac:dyDescent="0.2">
      <c r="A32" s="221" t="s">
        <v>161</v>
      </c>
      <c r="B32" s="221"/>
      <c r="C32" s="249" t="s">
        <v>168</v>
      </c>
      <c r="D32" s="222" t="s">
        <v>56</v>
      </c>
      <c r="E32" s="148" t="s">
        <v>74</v>
      </c>
      <c r="F32" s="149" t="s">
        <v>27</v>
      </c>
      <c r="G32" s="150" t="s">
        <v>77</v>
      </c>
      <c r="H32" s="151">
        <v>1</v>
      </c>
      <c r="I32" s="108" t="s">
        <v>254</v>
      </c>
      <c r="J32" s="149" t="s">
        <v>28</v>
      </c>
      <c r="K32" s="202">
        <v>0</v>
      </c>
      <c r="L32" s="202">
        <f>3300-300</f>
        <v>3000</v>
      </c>
      <c r="M32" s="202">
        <f>2500-300</f>
        <v>2200</v>
      </c>
      <c r="N32" s="202">
        <v>2500</v>
      </c>
      <c r="O32" s="202">
        <v>0</v>
      </c>
      <c r="P32" s="202">
        <f t="shared" si="4"/>
        <v>7700</v>
      </c>
      <c r="Q32" s="220"/>
    </row>
    <row r="33" spans="1:18" s="189" customFormat="1" ht="131.25" customHeight="1" x14ac:dyDescent="0.2">
      <c r="A33" s="221" t="s">
        <v>177</v>
      </c>
      <c r="B33" s="221"/>
      <c r="C33" s="259" t="s">
        <v>176</v>
      </c>
      <c r="D33" s="222" t="s">
        <v>56</v>
      </c>
      <c r="E33" s="148" t="s">
        <v>74</v>
      </c>
      <c r="F33" s="148" t="s">
        <v>27</v>
      </c>
      <c r="G33" s="257" t="s">
        <v>77</v>
      </c>
      <c r="H33" s="151">
        <v>1</v>
      </c>
      <c r="I33" s="149" t="s">
        <v>263</v>
      </c>
      <c r="J33" s="148" t="s">
        <v>79</v>
      </c>
      <c r="K33" s="202">
        <v>4112.6400000000003</v>
      </c>
      <c r="L33" s="202"/>
      <c r="M33" s="202"/>
      <c r="N33" s="202"/>
      <c r="O33" s="202"/>
      <c r="P33" s="202">
        <f t="shared" si="4"/>
        <v>4112.6400000000003</v>
      </c>
      <c r="Q33" s="220"/>
    </row>
    <row r="34" spans="1:18" s="342" customFormat="1" ht="131.25" customHeight="1" x14ac:dyDescent="0.2">
      <c r="A34" s="343" t="s">
        <v>202</v>
      </c>
      <c r="B34" s="221"/>
      <c r="C34" s="259" t="s">
        <v>176</v>
      </c>
      <c r="D34" s="222" t="s">
        <v>56</v>
      </c>
      <c r="E34" s="148" t="s">
        <v>74</v>
      </c>
      <c r="F34" s="148" t="s">
        <v>27</v>
      </c>
      <c r="G34" s="257" t="s">
        <v>77</v>
      </c>
      <c r="H34" s="151">
        <v>1</v>
      </c>
      <c r="I34" s="149" t="s">
        <v>263</v>
      </c>
      <c r="J34" s="148" t="s">
        <v>286</v>
      </c>
      <c r="K34" s="202">
        <v>1242.02</v>
      </c>
      <c r="L34" s="202"/>
      <c r="M34" s="202"/>
      <c r="N34" s="202"/>
      <c r="O34" s="202"/>
      <c r="P34" s="202">
        <f t="shared" ref="P34" si="7">SUM(K34:O34)</f>
        <v>1242.02</v>
      </c>
      <c r="Q34" s="220"/>
    </row>
    <row r="35" spans="1:18" s="245" customFormat="1" ht="131.25" customHeight="1" x14ac:dyDescent="0.2">
      <c r="A35" s="343" t="s">
        <v>236</v>
      </c>
      <c r="B35" s="221"/>
      <c r="C35" s="260" t="s">
        <v>203</v>
      </c>
      <c r="D35" s="222" t="s">
        <v>56</v>
      </c>
      <c r="E35" s="148" t="s">
        <v>74</v>
      </c>
      <c r="F35" s="148" t="s">
        <v>27</v>
      </c>
      <c r="G35" s="257" t="s">
        <v>77</v>
      </c>
      <c r="H35" s="151">
        <v>1</v>
      </c>
      <c r="I35" s="149" t="s">
        <v>264</v>
      </c>
      <c r="J35" s="148" t="s">
        <v>28</v>
      </c>
      <c r="K35" s="202"/>
      <c r="L35" s="202">
        <v>3300</v>
      </c>
      <c r="M35" s="202">
        <v>250</v>
      </c>
      <c r="N35" s="202">
        <v>250</v>
      </c>
      <c r="O35" s="202">
        <v>250</v>
      </c>
      <c r="P35" s="202">
        <f t="shared" si="4"/>
        <v>4050</v>
      </c>
      <c r="Q35" s="220"/>
    </row>
    <row r="36" spans="1:18" s="297" customFormat="1" ht="131.25" customHeight="1" x14ac:dyDescent="0.2">
      <c r="A36" s="343" t="s">
        <v>287</v>
      </c>
      <c r="B36" s="221"/>
      <c r="C36" s="43" t="s">
        <v>237</v>
      </c>
      <c r="D36" s="222" t="s">
        <v>56</v>
      </c>
      <c r="E36" s="148" t="s">
        <v>74</v>
      </c>
      <c r="F36" s="148" t="s">
        <v>27</v>
      </c>
      <c r="G36" s="257" t="s">
        <v>77</v>
      </c>
      <c r="H36" s="151">
        <v>1</v>
      </c>
      <c r="I36" s="149" t="s">
        <v>265</v>
      </c>
      <c r="J36" s="148" t="s">
        <v>28</v>
      </c>
      <c r="K36" s="202"/>
      <c r="L36" s="202">
        <v>116125</v>
      </c>
      <c r="M36" s="202"/>
      <c r="N36" s="202"/>
      <c r="O36" s="202"/>
      <c r="P36" s="202">
        <f t="shared" si="4"/>
        <v>116125</v>
      </c>
      <c r="Q36" s="220"/>
    </row>
    <row r="37" spans="1:18" s="303" customFormat="1" ht="131.25" customHeight="1" x14ac:dyDescent="0.2">
      <c r="A37" s="343" t="s">
        <v>288</v>
      </c>
      <c r="B37" s="221"/>
      <c r="C37" s="43" t="s">
        <v>246</v>
      </c>
      <c r="D37" s="3" t="s">
        <v>56</v>
      </c>
      <c r="E37" s="104" t="s">
        <v>74</v>
      </c>
      <c r="F37" s="105" t="s">
        <v>27</v>
      </c>
      <c r="G37" s="106" t="s">
        <v>77</v>
      </c>
      <c r="H37" s="107">
        <v>1</v>
      </c>
      <c r="I37" s="108" t="s">
        <v>266</v>
      </c>
      <c r="J37" s="105" t="s">
        <v>28</v>
      </c>
      <c r="K37" s="202"/>
      <c r="L37" s="202">
        <v>200000</v>
      </c>
      <c r="M37" s="202"/>
      <c r="N37" s="202"/>
      <c r="O37" s="202"/>
      <c r="P37" s="202">
        <f t="shared" si="4"/>
        <v>200000</v>
      </c>
      <c r="Q37" s="220"/>
    </row>
    <row r="38" spans="1:18" ht="31.5" customHeight="1" x14ac:dyDescent="0.2">
      <c r="A38" s="114"/>
      <c r="B38" s="114"/>
      <c r="C38" s="259" t="s">
        <v>15</v>
      </c>
      <c r="D38" s="222"/>
      <c r="E38" s="259"/>
      <c r="F38" s="259"/>
      <c r="G38" s="257"/>
      <c r="H38" s="151"/>
      <c r="I38" s="256"/>
      <c r="J38" s="259"/>
      <c r="K38" s="202">
        <f>SUM(K18:K37)</f>
        <v>7761783.0299999993</v>
      </c>
      <c r="L38" s="202">
        <f>SUM(L18:L37)</f>
        <v>8209693.25</v>
      </c>
      <c r="M38" s="202">
        <f>SUM(M18:M37)</f>
        <v>7565218.6700000009</v>
      </c>
      <c r="N38" s="202">
        <f>SUM(N18:N37)</f>
        <v>7461088.4000000004</v>
      </c>
      <c r="O38" s="202">
        <f>SUM(O18:O37)</f>
        <v>7458588.4000000004</v>
      </c>
      <c r="P38" s="202">
        <f>SUM(K38:O38)</f>
        <v>38456371.75</v>
      </c>
      <c r="Q38" s="128"/>
      <c r="R38" s="22"/>
    </row>
    <row r="39" spans="1:18" ht="18" customHeight="1" x14ac:dyDescent="0.2">
      <c r="A39" s="114" t="s">
        <v>16</v>
      </c>
      <c r="B39" s="118"/>
      <c r="C39" s="428" t="s">
        <v>71</v>
      </c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429"/>
      <c r="P39" s="430"/>
      <c r="Q39" s="128"/>
    </row>
    <row r="40" spans="1:18" ht="117" customHeight="1" x14ac:dyDescent="0.2">
      <c r="A40" s="403" t="s">
        <v>17</v>
      </c>
      <c r="B40" s="207"/>
      <c r="C40" s="259" t="s">
        <v>122</v>
      </c>
      <c r="D40" s="222" t="s">
        <v>56</v>
      </c>
      <c r="E40" s="148" t="s">
        <v>74</v>
      </c>
      <c r="F40" s="148" t="s">
        <v>27</v>
      </c>
      <c r="G40" s="257" t="s">
        <v>77</v>
      </c>
      <c r="H40" s="151">
        <v>1</v>
      </c>
      <c r="I40" s="42" t="s">
        <v>252</v>
      </c>
      <c r="J40" s="148" t="s">
        <v>78</v>
      </c>
      <c r="K40" s="202">
        <f>2089586.88+21000-109173.01+61290+46791.28</f>
        <v>2109495.15</v>
      </c>
      <c r="L40" s="202">
        <v>2167494.23</v>
      </c>
      <c r="M40" s="202">
        <f>2174893.88+107351.89-85.45</f>
        <v>2282160.3199999998</v>
      </c>
      <c r="N40" s="202">
        <v>2282245.77</v>
      </c>
      <c r="O40" s="202">
        <f>N40</f>
        <v>2282245.77</v>
      </c>
      <c r="P40" s="202">
        <f>SUM(K40:O40)</f>
        <v>11123641.239999998</v>
      </c>
      <c r="Q40" s="443" t="s">
        <v>81</v>
      </c>
    </row>
    <row r="41" spans="1:18" ht="134.25" customHeight="1" x14ac:dyDescent="0.2">
      <c r="A41" s="404"/>
      <c r="B41" s="210"/>
      <c r="C41" s="259" t="s">
        <v>139</v>
      </c>
      <c r="D41" s="222" t="s">
        <v>56</v>
      </c>
      <c r="E41" s="149" t="s">
        <v>74</v>
      </c>
      <c r="F41" s="149" t="s">
        <v>27</v>
      </c>
      <c r="G41" s="150" t="s">
        <v>77</v>
      </c>
      <c r="H41" s="151">
        <v>1</v>
      </c>
      <c r="I41" s="149" t="s">
        <v>260</v>
      </c>
      <c r="J41" s="149" t="s">
        <v>78</v>
      </c>
      <c r="K41" s="202">
        <f>108081.28-46791.28+9459.03</f>
        <v>70749.03</v>
      </c>
      <c r="L41" s="202">
        <v>106357.97</v>
      </c>
      <c r="M41" s="202">
        <v>7454.76</v>
      </c>
      <c r="N41" s="202"/>
      <c r="O41" s="202"/>
      <c r="P41" s="202">
        <f t="shared" ref="P41:P45" si="8">SUM(K41:O41)</f>
        <v>184561.76</v>
      </c>
      <c r="Q41" s="444"/>
    </row>
    <row r="42" spans="1:18" ht="163.5" customHeight="1" x14ac:dyDescent="0.2">
      <c r="A42" s="405"/>
      <c r="B42" s="211"/>
      <c r="C42" s="259" t="s">
        <v>140</v>
      </c>
      <c r="D42" s="222" t="s">
        <v>56</v>
      </c>
      <c r="E42" s="149" t="s">
        <v>74</v>
      </c>
      <c r="F42" s="149" t="s">
        <v>27</v>
      </c>
      <c r="G42" s="150" t="s">
        <v>77</v>
      </c>
      <c r="H42" s="151">
        <v>1</v>
      </c>
      <c r="I42" s="149" t="s">
        <v>261</v>
      </c>
      <c r="J42" s="149" t="s">
        <v>78</v>
      </c>
      <c r="K42" s="202">
        <v>1091.73</v>
      </c>
      <c r="L42" s="202">
        <v>1074.32</v>
      </c>
      <c r="M42" s="202">
        <f>85.45</f>
        <v>85.45</v>
      </c>
      <c r="N42" s="202"/>
      <c r="O42" s="202"/>
      <c r="P42" s="202">
        <f t="shared" si="8"/>
        <v>2251.5</v>
      </c>
      <c r="Q42" s="445"/>
    </row>
    <row r="43" spans="1:18" ht="81.75" customHeight="1" x14ac:dyDescent="0.2">
      <c r="A43" s="114" t="s">
        <v>72</v>
      </c>
      <c r="B43" s="114"/>
      <c r="C43" s="259" t="s">
        <v>130</v>
      </c>
      <c r="D43" s="222" t="s">
        <v>56</v>
      </c>
      <c r="E43" s="148" t="s">
        <v>74</v>
      </c>
      <c r="F43" s="148" t="s">
        <v>27</v>
      </c>
      <c r="G43" s="257" t="s">
        <v>77</v>
      </c>
      <c r="H43" s="151">
        <v>1</v>
      </c>
      <c r="I43" s="149" t="s">
        <v>255</v>
      </c>
      <c r="J43" s="148" t="s">
        <v>80</v>
      </c>
      <c r="K43" s="202">
        <v>12000</v>
      </c>
      <c r="L43" s="202">
        <v>0</v>
      </c>
      <c r="M43" s="202">
        <v>0</v>
      </c>
      <c r="N43" s="202"/>
      <c r="O43" s="202"/>
      <c r="P43" s="202">
        <f t="shared" si="8"/>
        <v>12000</v>
      </c>
      <c r="Q43" s="215" t="s">
        <v>131</v>
      </c>
    </row>
    <row r="44" spans="1:18" ht="116.25" customHeight="1" x14ac:dyDescent="0.2">
      <c r="A44" s="114" t="s">
        <v>73</v>
      </c>
      <c r="B44" s="114"/>
      <c r="C44" s="259" t="s">
        <v>176</v>
      </c>
      <c r="D44" s="222" t="s">
        <v>56</v>
      </c>
      <c r="E44" s="148" t="s">
        <v>74</v>
      </c>
      <c r="F44" s="148" t="s">
        <v>27</v>
      </c>
      <c r="G44" s="257" t="s">
        <v>77</v>
      </c>
      <c r="H44" s="151">
        <v>1</v>
      </c>
      <c r="I44" s="149" t="s">
        <v>263</v>
      </c>
      <c r="J44" s="148" t="s">
        <v>78</v>
      </c>
      <c r="K44" s="202">
        <v>2593.52</v>
      </c>
      <c r="L44" s="202"/>
      <c r="M44" s="202"/>
      <c r="N44" s="202"/>
      <c r="O44" s="202"/>
      <c r="P44" s="202">
        <f t="shared" si="8"/>
        <v>2593.52</v>
      </c>
      <c r="Q44" s="215"/>
    </row>
    <row r="45" spans="1:18" ht="32.25" customHeight="1" x14ac:dyDescent="0.2">
      <c r="A45" s="114"/>
      <c r="B45" s="114"/>
      <c r="C45" s="259" t="s">
        <v>18</v>
      </c>
      <c r="D45" s="222"/>
      <c r="E45" s="259"/>
      <c r="F45" s="259"/>
      <c r="G45" s="257"/>
      <c r="H45" s="151"/>
      <c r="I45" s="256"/>
      <c r="J45" s="259"/>
      <c r="K45" s="202">
        <f>SUM(K40:K44)</f>
        <v>2195929.4299999997</v>
      </c>
      <c r="L45" s="202">
        <f>SUM(L40:L44)</f>
        <v>2274926.52</v>
      </c>
      <c r="M45" s="202">
        <f>SUM(M40:M44)</f>
        <v>2289700.5299999998</v>
      </c>
      <c r="N45" s="202">
        <f>SUM(N40:N44)</f>
        <v>2282245.77</v>
      </c>
      <c r="O45" s="202">
        <f>SUM(O40:O44)</f>
        <v>2282245.77</v>
      </c>
      <c r="P45" s="202">
        <f t="shared" si="8"/>
        <v>11325048.019999998</v>
      </c>
      <c r="Q45" s="128"/>
      <c r="R45" s="22"/>
    </row>
    <row r="46" spans="1:18" ht="45.75" customHeight="1" x14ac:dyDescent="0.2">
      <c r="A46" s="403" t="s">
        <v>16</v>
      </c>
      <c r="B46" s="411" t="s">
        <v>51</v>
      </c>
      <c r="C46" s="414" t="s">
        <v>144</v>
      </c>
      <c r="D46" s="222" t="s">
        <v>142</v>
      </c>
      <c r="E46" s="254"/>
      <c r="F46" s="254"/>
      <c r="G46" s="254"/>
      <c r="H46" s="254"/>
      <c r="I46" s="254"/>
      <c r="J46" s="254"/>
      <c r="K46" s="213">
        <f>K67+K79+K92</f>
        <v>41738870.470000006</v>
      </c>
      <c r="L46" s="213">
        <f>L67+L79+L92</f>
        <v>34136465.450000003</v>
      </c>
      <c r="M46" s="213">
        <f>M67+M79+M92</f>
        <v>34316647.549999997</v>
      </c>
      <c r="N46" s="213">
        <f>N67+N79+N92</f>
        <v>32938039.449999999</v>
      </c>
      <c r="O46" s="213">
        <f>O67+O79+O92</f>
        <v>32938039.449999999</v>
      </c>
      <c r="P46" s="255">
        <f>SUM(K46:O46)</f>
        <v>176068062.37</v>
      </c>
      <c r="Q46" s="128"/>
      <c r="R46" s="22"/>
    </row>
    <row r="47" spans="1:18" ht="17.25" customHeight="1" x14ac:dyDescent="0.2">
      <c r="A47" s="409"/>
      <c r="B47" s="412"/>
      <c r="C47" s="415"/>
      <c r="D47" s="222" t="s">
        <v>25</v>
      </c>
      <c r="E47" s="254"/>
      <c r="F47" s="254"/>
      <c r="G47" s="254"/>
      <c r="H47" s="254"/>
      <c r="I47" s="254"/>
      <c r="J47" s="254"/>
      <c r="K47" s="213"/>
      <c r="L47" s="254"/>
      <c r="M47" s="254"/>
      <c r="N47" s="254"/>
      <c r="O47" s="254"/>
      <c r="P47" s="255">
        <f t="shared" ref="P47" si="9">SUM(K47:M47)</f>
        <v>0</v>
      </c>
      <c r="Q47" s="128"/>
      <c r="R47" s="22"/>
    </row>
    <row r="48" spans="1:18" ht="48" customHeight="1" x14ac:dyDescent="0.2">
      <c r="A48" s="409"/>
      <c r="B48" s="412"/>
      <c r="C48" s="415"/>
      <c r="D48" s="222" t="s">
        <v>195</v>
      </c>
      <c r="E48" s="254" t="s">
        <v>48</v>
      </c>
      <c r="F48" s="254" t="s">
        <v>48</v>
      </c>
      <c r="G48" s="254" t="s">
        <v>48</v>
      </c>
      <c r="H48" s="254" t="s">
        <v>48</v>
      </c>
      <c r="I48" s="254" t="s">
        <v>48</v>
      </c>
      <c r="J48" s="254" t="s">
        <v>48</v>
      </c>
      <c r="K48" s="213">
        <f>6181600</f>
        <v>6181600</v>
      </c>
      <c r="L48" s="213">
        <v>0</v>
      </c>
      <c r="M48" s="213">
        <v>0</v>
      </c>
      <c r="N48" s="213"/>
      <c r="O48" s="213"/>
      <c r="P48" s="255">
        <f>SUM(K48:N48)</f>
        <v>6181600</v>
      </c>
      <c r="Q48" s="128"/>
      <c r="R48" s="22"/>
    </row>
    <row r="49" spans="1:18" ht="51" customHeight="1" x14ac:dyDescent="0.2">
      <c r="A49" s="410"/>
      <c r="B49" s="412"/>
      <c r="C49" s="416"/>
      <c r="D49" s="222" t="s">
        <v>196</v>
      </c>
      <c r="E49" s="254" t="s">
        <v>48</v>
      </c>
      <c r="F49" s="254" t="s">
        <v>48</v>
      </c>
      <c r="G49" s="254" t="s">
        <v>48</v>
      </c>
      <c r="H49" s="254" t="s">
        <v>48</v>
      </c>
      <c r="I49" s="254" t="s">
        <v>48</v>
      </c>
      <c r="J49" s="254" t="s">
        <v>48</v>
      </c>
      <c r="K49" s="213">
        <f>556913.66+125691.96+1860000+197569.99</f>
        <v>2740175.6100000003</v>
      </c>
      <c r="L49" s="213">
        <f>L53+L59+L55+L72</f>
        <v>1479370.68</v>
      </c>
      <c r="M49" s="213">
        <f>M72+M74+M75+M53+M59+M55+M61</f>
        <v>1134308.1000000001</v>
      </c>
      <c r="N49" s="213"/>
      <c r="O49" s="213"/>
      <c r="P49" s="255">
        <f>SUM(K49:N49)</f>
        <v>5353854.3900000006</v>
      </c>
      <c r="Q49" s="128" t="s">
        <v>159</v>
      </c>
      <c r="R49" s="22"/>
    </row>
    <row r="50" spans="1:18" ht="60" customHeight="1" x14ac:dyDescent="0.2">
      <c r="A50" s="114"/>
      <c r="B50" s="413"/>
      <c r="C50" s="254"/>
      <c r="D50" s="222" t="s">
        <v>197</v>
      </c>
      <c r="E50" s="254" t="s">
        <v>48</v>
      </c>
      <c r="F50" s="254" t="s">
        <v>48</v>
      </c>
      <c r="G50" s="254" t="s">
        <v>48</v>
      </c>
      <c r="H50" s="254" t="s">
        <v>48</v>
      </c>
      <c r="I50" s="254" t="s">
        <v>48</v>
      </c>
      <c r="J50" s="254" t="s">
        <v>48</v>
      </c>
      <c r="K50" s="213">
        <f>K46-K49-K48</f>
        <v>32817094.860000007</v>
      </c>
      <c r="L50" s="213">
        <f>L46-L49</f>
        <v>32657094.770000003</v>
      </c>
      <c r="M50" s="213">
        <f>M46-M49</f>
        <v>33182339.449999996</v>
      </c>
      <c r="N50" s="213">
        <f>N46-N49</f>
        <v>32938039.449999999</v>
      </c>
      <c r="O50" s="213">
        <f>O46-O49</f>
        <v>32938039.449999999</v>
      </c>
      <c r="P50" s="255">
        <f>SUM(K50:O50)</f>
        <v>164532607.98000002</v>
      </c>
      <c r="Q50" s="212"/>
      <c r="R50" s="22"/>
    </row>
    <row r="51" spans="1:18" s="25" customFormat="1" ht="15" customHeight="1" x14ac:dyDescent="0.2">
      <c r="A51" s="114" t="s">
        <v>13</v>
      </c>
      <c r="B51" s="118"/>
      <c r="C51" s="428" t="s">
        <v>55</v>
      </c>
      <c r="D51" s="429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30"/>
      <c r="Q51" s="212"/>
    </row>
    <row r="52" spans="1:18" ht="99.75" customHeight="1" x14ac:dyDescent="0.2">
      <c r="A52" s="403" t="s">
        <v>30</v>
      </c>
      <c r="B52" s="207"/>
      <c r="C52" s="259" t="s">
        <v>112</v>
      </c>
      <c r="D52" s="259" t="s">
        <v>56</v>
      </c>
      <c r="E52" s="148" t="s">
        <v>74</v>
      </c>
      <c r="F52" s="148" t="s">
        <v>27</v>
      </c>
      <c r="G52" s="257" t="s">
        <v>77</v>
      </c>
      <c r="H52" s="151">
        <v>2</v>
      </c>
      <c r="I52" s="42" t="s">
        <v>252</v>
      </c>
      <c r="J52" s="148" t="s">
        <v>78</v>
      </c>
      <c r="K52" s="202">
        <f>24664296.64-816087.14-125691.96+75619+512753.06+295173.21</f>
        <v>24606062.809999999</v>
      </c>
      <c r="L52" s="202">
        <v>25950759.199999999</v>
      </c>
      <c r="M52" s="202">
        <f>26129689.11+1165534.79-1048.24</f>
        <v>27294175.66</v>
      </c>
      <c r="N52" s="202">
        <f>M52+1048.24</f>
        <v>27295223.899999999</v>
      </c>
      <c r="O52" s="202">
        <f>N52</f>
        <v>27295223.899999999</v>
      </c>
      <c r="P52" s="202">
        <f>SUM(K52:O52)</f>
        <v>132441445.47</v>
      </c>
      <c r="Q52" s="224" t="s">
        <v>84</v>
      </c>
    </row>
    <row r="53" spans="1:18" ht="126" x14ac:dyDescent="0.2">
      <c r="A53" s="404"/>
      <c r="B53" s="210"/>
      <c r="C53" s="259" t="s">
        <v>139</v>
      </c>
      <c r="D53" s="259" t="s">
        <v>56</v>
      </c>
      <c r="E53" s="148" t="s">
        <v>74</v>
      </c>
      <c r="F53" s="148" t="s">
        <v>27</v>
      </c>
      <c r="G53" s="257" t="s">
        <v>77</v>
      </c>
      <c r="H53" s="150" t="s">
        <v>16</v>
      </c>
      <c r="I53" s="149" t="s">
        <v>260</v>
      </c>
      <c r="J53" s="148" t="s">
        <v>78</v>
      </c>
      <c r="K53" s="202">
        <f>807926.27-295173.21+60134.56</f>
        <v>572887.62</v>
      </c>
      <c r="L53" s="202">
        <v>882697.37</v>
      </c>
      <c r="M53" s="202">
        <v>91639.52</v>
      </c>
      <c r="N53" s="202"/>
      <c r="O53" s="202"/>
      <c r="P53" s="202">
        <f t="shared" ref="P53:P66" si="10">SUM(K53:O53)</f>
        <v>1547224.51</v>
      </c>
      <c r="Q53" s="395"/>
    </row>
    <row r="54" spans="1:18" ht="157.5" x14ac:dyDescent="0.2">
      <c r="A54" s="404"/>
      <c r="B54" s="210"/>
      <c r="C54" s="259" t="s">
        <v>140</v>
      </c>
      <c r="D54" s="259" t="s">
        <v>56</v>
      </c>
      <c r="E54" s="148" t="s">
        <v>74</v>
      </c>
      <c r="F54" s="149" t="s">
        <v>27</v>
      </c>
      <c r="G54" s="150" t="s">
        <v>77</v>
      </c>
      <c r="H54" s="150" t="s">
        <v>16</v>
      </c>
      <c r="I54" s="149" t="s">
        <v>261</v>
      </c>
      <c r="J54" s="149" t="s">
        <v>78</v>
      </c>
      <c r="K54" s="202">
        <v>8160.87</v>
      </c>
      <c r="L54" s="202">
        <v>8916.14</v>
      </c>
      <c r="M54" s="202">
        <f>1048.24</f>
        <v>1048.24</v>
      </c>
      <c r="N54" s="202"/>
      <c r="O54" s="202"/>
      <c r="P54" s="202">
        <f t="shared" si="10"/>
        <v>18125.25</v>
      </c>
      <c r="Q54" s="395"/>
    </row>
    <row r="55" spans="1:18" ht="63" x14ac:dyDescent="0.2">
      <c r="A55" s="404"/>
      <c r="B55" s="210"/>
      <c r="C55" s="259" t="s">
        <v>141</v>
      </c>
      <c r="D55" s="259" t="s">
        <v>56</v>
      </c>
      <c r="E55" s="148" t="s">
        <v>74</v>
      </c>
      <c r="F55" s="149" t="s">
        <v>27</v>
      </c>
      <c r="G55" s="150" t="s">
        <v>77</v>
      </c>
      <c r="H55" s="150" t="s">
        <v>16</v>
      </c>
      <c r="I55" s="149" t="s">
        <v>267</v>
      </c>
      <c r="J55" s="149" t="s">
        <v>78</v>
      </c>
      <c r="K55" s="202">
        <f>125691.96+125691.96+92180</f>
        <v>343563.92000000004</v>
      </c>
      <c r="L55" s="202">
        <v>328353.59999999998</v>
      </c>
      <c r="M55" s="202">
        <f>245369.47</f>
        <v>245369.47</v>
      </c>
      <c r="N55" s="202"/>
      <c r="O55" s="202"/>
      <c r="P55" s="202">
        <f t="shared" si="10"/>
        <v>917286.99</v>
      </c>
      <c r="Q55" s="395"/>
      <c r="R55" s="22" t="s">
        <v>193</v>
      </c>
    </row>
    <row r="56" spans="1:18" ht="78.75" x14ac:dyDescent="0.2">
      <c r="A56" s="404"/>
      <c r="B56" s="210"/>
      <c r="C56" s="259" t="s">
        <v>113</v>
      </c>
      <c r="D56" s="259" t="s">
        <v>56</v>
      </c>
      <c r="E56" s="148" t="s">
        <v>74</v>
      </c>
      <c r="F56" s="149" t="s">
        <v>27</v>
      </c>
      <c r="G56" s="150" t="s">
        <v>77</v>
      </c>
      <c r="H56" s="150" t="s">
        <v>16</v>
      </c>
      <c r="I56" s="149" t="s">
        <v>255</v>
      </c>
      <c r="J56" s="149" t="s">
        <v>80</v>
      </c>
      <c r="K56" s="202">
        <f>200000+300000+15000</f>
        <v>515000</v>
      </c>
      <c r="L56" s="202">
        <v>0</v>
      </c>
      <c r="M56" s="202">
        <v>0</v>
      </c>
      <c r="N56" s="202"/>
      <c r="O56" s="202"/>
      <c r="P56" s="202">
        <f t="shared" si="10"/>
        <v>515000</v>
      </c>
      <c r="Q56" s="225"/>
    </row>
    <row r="57" spans="1:18" ht="126" x14ac:dyDescent="0.2">
      <c r="A57" s="405"/>
      <c r="B57" s="211"/>
      <c r="C57" s="259" t="s">
        <v>123</v>
      </c>
      <c r="D57" s="259" t="s">
        <v>56</v>
      </c>
      <c r="E57" s="148" t="s">
        <v>74</v>
      </c>
      <c r="F57" s="149" t="s">
        <v>27</v>
      </c>
      <c r="G57" s="150" t="s">
        <v>77</v>
      </c>
      <c r="H57" s="150" t="s">
        <v>16</v>
      </c>
      <c r="I57" s="149" t="s">
        <v>268</v>
      </c>
      <c r="J57" s="149" t="s">
        <v>80</v>
      </c>
      <c r="K57" s="202">
        <v>0</v>
      </c>
      <c r="L57" s="202">
        <v>0</v>
      </c>
      <c r="M57" s="202">
        <v>0</v>
      </c>
      <c r="N57" s="202"/>
      <c r="O57" s="202"/>
      <c r="P57" s="202">
        <f t="shared" si="10"/>
        <v>0</v>
      </c>
      <c r="Q57" s="226"/>
    </row>
    <row r="58" spans="1:18" ht="78.75" x14ac:dyDescent="0.2">
      <c r="A58" s="403" t="s">
        <v>14</v>
      </c>
      <c r="B58" s="207"/>
      <c r="C58" s="259" t="s">
        <v>111</v>
      </c>
      <c r="D58" s="259" t="s">
        <v>56</v>
      </c>
      <c r="E58" s="148" t="s">
        <v>74</v>
      </c>
      <c r="F58" s="148" t="s">
        <v>27</v>
      </c>
      <c r="G58" s="257" t="s">
        <v>77</v>
      </c>
      <c r="H58" s="150" t="s">
        <v>16</v>
      </c>
      <c r="I58" s="42" t="s">
        <v>252</v>
      </c>
      <c r="J58" s="148" t="s">
        <v>78</v>
      </c>
      <c r="K58" s="202">
        <f>4533475.22-81949.75+58744+44160.6+36969.65+373.44</f>
        <v>4591773.16</v>
      </c>
      <c r="L58" s="202">
        <v>4635728.3499999996</v>
      </c>
      <c r="M58" s="202">
        <f>4695549.65+92015.9-106.14</f>
        <v>4787459.4100000011</v>
      </c>
      <c r="N58" s="202">
        <f>M58+106.14</f>
        <v>4787565.5500000007</v>
      </c>
      <c r="O58" s="202">
        <f>N58</f>
        <v>4787565.5500000007</v>
      </c>
      <c r="P58" s="202">
        <f t="shared" si="10"/>
        <v>23590092.020000003</v>
      </c>
      <c r="Q58" s="406" t="s">
        <v>85</v>
      </c>
    </row>
    <row r="59" spans="1:18" ht="126" x14ac:dyDescent="0.2">
      <c r="A59" s="404"/>
      <c r="B59" s="210"/>
      <c r="C59" s="259" t="s">
        <v>139</v>
      </c>
      <c r="D59" s="259" t="s">
        <v>56</v>
      </c>
      <c r="E59" s="149" t="s">
        <v>74</v>
      </c>
      <c r="F59" s="149" t="s">
        <v>27</v>
      </c>
      <c r="G59" s="150" t="s">
        <v>77</v>
      </c>
      <c r="H59" s="150" t="s">
        <v>16</v>
      </c>
      <c r="I59" s="149" t="s">
        <v>260</v>
      </c>
      <c r="J59" s="149" t="s">
        <v>78</v>
      </c>
      <c r="K59" s="202">
        <f>81130.25-36969.65</f>
        <v>44160.6</v>
      </c>
      <c r="L59" s="202">
        <v>68319.710000000006</v>
      </c>
      <c r="M59" s="202">
        <f>9262.08</f>
        <v>9262.08</v>
      </c>
      <c r="N59" s="202"/>
      <c r="O59" s="202"/>
      <c r="P59" s="202">
        <f t="shared" si="10"/>
        <v>121742.39</v>
      </c>
      <c r="Q59" s="407"/>
    </row>
    <row r="60" spans="1:18" ht="157.5" x14ac:dyDescent="0.2">
      <c r="A60" s="404"/>
      <c r="B60" s="210"/>
      <c r="C60" s="259" t="s">
        <v>140</v>
      </c>
      <c r="D60" s="259" t="s">
        <v>56</v>
      </c>
      <c r="E60" s="149" t="s">
        <v>74</v>
      </c>
      <c r="F60" s="149" t="s">
        <v>27</v>
      </c>
      <c r="G60" s="150" t="s">
        <v>77</v>
      </c>
      <c r="H60" s="150" t="s">
        <v>16</v>
      </c>
      <c r="I60" s="149" t="s">
        <v>261</v>
      </c>
      <c r="J60" s="149" t="s">
        <v>78</v>
      </c>
      <c r="K60" s="202">
        <v>446.06</v>
      </c>
      <c r="L60" s="202">
        <v>746.08</v>
      </c>
      <c r="M60" s="202">
        <f>106.14</f>
        <v>106.14</v>
      </c>
      <c r="N60" s="202"/>
      <c r="O60" s="202"/>
      <c r="P60" s="202">
        <f t="shared" si="10"/>
        <v>1298.2800000000002</v>
      </c>
      <c r="Q60" s="408"/>
    </row>
    <row r="61" spans="1:18" s="376" customFormat="1" ht="72.75" customHeight="1" x14ac:dyDescent="0.2">
      <c r="A61" s="404"/>
      <c r="B61" s="377"/>
      <c r="C61" s="382" t="s">
        <v>141</v>
      </c>
      <c r="D61" s="61" t="s">
        <v>56</v>
      </c>
      <c r="E61" s="74" t="s">
        <v>74</v>
      </c>
      <c r="F61" s="74" t="s">
        <v>27</v>
      </c>
      <c r="G61" s="75" t="s">
        <v>77</v>
      </c>
      <c r="H61" s="75" t="s">
        <v>16</v>
      </c>
      <c r="I61" s="74" t="s">
        <v>267</v>
      </c>
      <c r="J61" s="74" t="s">
        <v>78</v>
      </c>
      <c r="K61" s="153"/>
      <c r="L61" s="78"/>
      <c r="M61" s="78">
        <v>30037.03</v>
      </c>
      <c r="N61" s="78"/>
      <c r="O61" s="78"/>
      <c r="P61" s="78">
        <f t="shared" ref="P61" si="11">K61+L61+M61+N61</f>
        <v>30037.03</v>
      </c>
      <c r="Q61" s="386"/>
    </row>
    <row r="62" spans="1:18" ht="78.75" x14ac:dyDescent="0.2">
      <c r="A62" s="405"/>
      <c r="B62" s="211"/>
      <c r="C62" s="259" t="s">
        <v>113</v>
      </c>
      <c r="D62" s="259" t="s">
        <v>56</v>
      </c>
      <c r="E62" s="261" t="s">
        <v>74</v>
      </c>
      <c r="F62" s="152" t="s">
        <v>27</v>
      </c>
      <c r="G62" s="262" t="s">
        <v>77</v>
      </c>
      <c r="H62" s="262" t="s">
        <v>16</v>
      </c>
      <c r="I62" s="152" t="s">
        <v>255</v>
      </c>
      <c r="J62" s="152" t="s">
        <v>80</v>
      </c>
      <c r="K62" s="202">
        <v>7000</v>
      </c>
      <c r="L62" s="202">
        <v>0</v>
      </c>
      <c r="M62" s="202">
        <v>0</v>
      </c>
      <c r="N62" s="202"/>
      <c r="O62" s="202"/>
      <c r="P62" s="202">
        <f t="shared" si="10"/>
        <v>7000</v>
      </c>
      <c r="Q62" s="227"/>
    </row>
    <row r="63" spans="1:18" ht="236.25" x14ac:dyDescent="0.2">
      <c r="A63" s="114" t="s">
        <v>57</v>
      </c>
      <c r="B63" s="207"/>
      <c r="C63" s="249" t="s">
        <v>58</v>
      </c>
      <c r="D63" s="259" t="s">
        <v>56</v>
      </c>
      <c r="E63" s="148"/>
      <c r="F63" s="148"/>
      <c r="G63" s="257"/>
      <c r="H63" s="150"/>
      <c r="I63" s="149"/>
      <c r="J63" s="148"/>
      <c r="K63" s="202"/>
      <c r="L63" s="202"/>
      <c r="M63" s="202"/>
      <c r="N63" s="202"/>
      <c r="O63" s="202"/>
      <c r="P63" s="202">
        <f t="shared" si="10"/>
        <v>0</v>
      </c>
      <c r="Q63" s="228" t="s">
        <v>86</v>
      </c>
    </row>
    <row r="64" spans="1:18" ht="204.75" x14ac:dyDescent="0.25">
      <c r="A64" s="114" t="s">
        <v>103</v>
      </c>
      <c r="B64" s="229"/>
      <c r="C64" s="230" t="s">
        <v>154</v>
      </c>
      <c r="D64" s="259" t="s">
        <v>56</v>
      </c>
      <c r="E64" s="148" t="s">
        <v>74</v>
      </c>
      <c r="F64" s="148" t="s">
        <v>27</v>
      </c>
      <c r="G64" s="257" t="s">
        <v>77</v>
      </c>
      <c r="H64" s="150" t="s">
        <v>16</v>
      </c>
      <c r="I64" s="149" t="s">
        <v>269</v>
      </c>
      <c r="J64" s="148" t="s">
        <v>80</v>
      </c>
      <c r="K64" s="202">
        <v>6181600</v>
      </c>
      <c r="L64" s="202">
        <v>0</v>
      </c>
      <c r="M64" s="202">
        <v>0</v>
      </c>
      <c r="N64" s="202"/>
      <c r="O64" s="202"/>
      <c r="P64" s="202">
        <f t="shared" si="10"/>
        <v>6181600</v>
      </c>
      <c r="Q64" s="228" t="s">
        <v>157</v>
      </c>
      <c r="R64" s="23" t="s">
        <v>158</v>
      </c>
    </row>
    <row r="65" spans="1:18" s="189" customFormat="1" ht="106.5" customHeight="1" x14ac:dyDescent="0.2">
      <c r="A65" s="114"/>
      <c r="B65" s="229"/>
      <c r="C65" s="397" t="s">
        <v>176</v>
      </c>
      <c r="D65" s="259" t="s">
        <v>56</v>
      </c>
      <c r="E65" s="261" t="s">
        <v>74</v>
      </c>
      <c r="F65" s="152" t="s">
        <v>27</v>
      </c>
      <c r="G65" s="262" t="s">
        <v>77</v>
      </c>
      <c r="H65" s="262" t="s">
        <v>16</v>
      </c>
      <c r="I65" s="261" t="s">
        <v>263</v>
      </c>
      <c r="J65" s="152" t="s">
        <v>78</v>
      </c>
      <c r="K65" s="202">
        <v>2920.72</v>
      </c>
      <c r="L65" s="202"/>
      <c r="M65" s="202"/>
      <c r="N65" s="202"/>
      <c r="O65" s="202"/>
      <c r="P65" s="202">
        <f t="shared" si="10"/>
        <v>2920.72</v>
      </c>
      <c r="Q65" s="228"/>
    </row>
    <row r="66" spans="1:18" s="189" customFormat="1" ht="42.75" customHeight="1" x14ac:dyDescent="0.2">
      <c r="A66" s="114"/>
      <c r="B66" s="229"/>
      <c r="C66" s="398"/>
      <c r="D66" s="259" t="s">
        <v>56</v>
      </c>
      <c r="E66" s="261" t="s">
        <v>74</v>
      </c>
      <c r="F66" s="152" t="s">
        <v>27</v>
      </c>
      <c r="G66" s="262" t="s">
        <v>77</v>
      </c>
      <c r="H66" s="262" t="s">
        <v>16</v>
      </c>
      <c r="I66" s="152" t="s">
        <v>263</v>
      </c>
      <c r="J66" s="152" t="s">
        <v>78</v>
      </c>
      <c r="K66" s="202">
        <v>42334.71</v>
      </c>
      <c r="L66" s="202"/>
      <c r="M66" s="202"/>
      <c r="N66" s="202"/>
      <c r="O66" s="202"/>
      <c r="P66" s="202">
        <f t="shared" si="10"/>
        <v>42334.71</v>
      </c>
      <c r="Q66" s="228"/>
    </row>
    <row r="67" spans="1:18" ht="15.75" customHeight="1" x14ac:dyDescent="0.2">
      <c r="A67" s="114"/>
      <c r="B67" s="114"/>
      <c r="C67" s="259" t="s">
        <v>15</v>
      </c>
      <c r="D67" s="222"/>
      <c r="E67" s="259"/>
      <c r="F67" s="259"/>
      <c r="G67" s="257"/>
      <c r="H67" s="151"/>
      <c r="I67" s="256"/>
      <c r="J67" s="259"/>
      <c r="K67" s="202">
        <f>SUM(K52:K66)</f>
        <v>36915910.470000006</v>
      </c>
      <c r="L67" s="202">
        <f>SUM(L52:L63)</f>
        <v>31875520.450000003</v>
      </c>
      <c r="M67" s="202">
        <f>SUM(M52:M63)</f>
        <v>32459097.549999997</v>
      </c>
      <c r="N67" s="202">
        <f>SUM(N52:N64)</f>
        <v>32082789.449999999</v>
      </c>
      <c r="O67" s="202">
        <f>SUM(O52:O64)</f>
        <v>32082789.449999999</v>
      </c>
      <c r="P67" s="202">
        <f>K67+L67+M67+N67+O67</f>
        <v>165416107.37</v>
      </c>
      <c r="Q67" s="128"/>
    </row>
    <row r="68" spans="1:18" ht="15.75" customHeight="1" x14ac:dyDescent="0.2">
      <c r="A68" s="114" t="s">
        <v>16</v>
      </c>
      <c r="B68" s="118"/>
      <c r="C68" s="428" t="s">
        <v>59</v>
      </c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30"/>
      <c r="Q68" s="215"/>
    </row>
    <row r="69" spans="1:18" ht="32.25" customHeight="1" x14ac:dyDescent="0.2">
      <c r="A69" s="403" t="s">
        <v>17</v>
      </c>
      <c r="B69" s="207"/>
      <c r="C69" s="425" t="s">
        <v>124</v>
      </c>
      <c r="D69" s="249" t="s">
        <v>56</v>
      </c>
      <c r="E69" s="148" t="s">
        <v>74</v>
      </c>
      <c r="F69" s="149" t="s">
        <v>27</v>
      </c>
      <c r="G69" s="150" t="s">
        <v>77</v>
      </c>
      <c r="H69" s="150" t="s">
        <v>16</v>
      </c>
      <c r="I69" s="149" t="s">
        <v>270</v>
      </c>
      <c r="J69" s="148" t="s">
        <v>80</v>
      </c>
      <c r="K69" s="263">
        <f>12000</f>
        <v>12000</v>
      </c>
      <c r="L69" s="263">
        <v>0</v>
      </c>
      <c r="M69" s="263">
        <v>0</v>
      </c>
      <c r="N69" s="263"/>
      <c r="O69" s="263"/>
      <c r="P69" s="263">
        <f>SUM(K69:M69)</f>
        <v>12000</v>
      </c>
      <c r="Q69" s="394" t="s">
        <v>87</v>
      </c>
      <c r="R69" s="23" t="s">
        <v>0</v>
      </c>
    </row>
    <row r="70" spans="1:18" ht="33" customHeight="1" x14ac:dyDescent="0.2">
      <c r="A70" s="404"/>
      <c r="B70" s="210"/>
      <c r="C70" s="426"/>
      <c r="D70" s="249" t="s">
        <v>56</v>
      </c>
      <c r="E70" s="148" t="s">
        <v>74</v>
      </c>
      <c r="F70" s="149" t="s">
        <v>27</v>
      </c>
      <c r="G70" s="150" t="s">
        <v>77</v>
      </c>
      <c r="H70" s="150" t="s">
        <v>16</v>
      </c>
      <c r="I70" s="149" t="s">
        <v>270</v>
      </c>
      <c r="J70" s="148" t="s">
        <v>80</v>
      </c>
      <c r="K70" s="263">
        <f>3400</f>
        <v>3400</v>
      </c>
      <c r="L70" s="263"/>
      <c r="M70" s="263"/>
      <c r="N70" s="263"/>
      <c r="O70" s="263"/>
      <c r="P70" s="263">
        <v>3400</v>
      </c>
      <c r="Q70" s="395"/>
      <c r="R70" s="23" t="s">
        <v>149</v>
      </c>
    </row>
    <row r="71" spans="1:18" ht="37.5" customHeight="1" x14ac:dyDescent="0.2">
      <c r="A71" s="405"/>
      <c r="B71" s="211"/>
      <c r="C71" s="427"/>
      <c r="D71" s="249" t="s">
        <v>56</v>
      </c>
      <c r="E71" s="148" t="s">
        <v>74</v>
      </c>
      <c r="F71" s="149" t="s">
        <v>75</v>
      </c>
      <c r="G71" s="150" t="s">
        <v>77</v>
      </c>
      <c r="H71" s="150" t="s">
        <v>16</v>
      </c>
      <c r="I71" s="149" t="s">
        <v>270</v>
      </c>
      <c r="J71" s="148" t="s">
        <v>80</v>
      </c>
      <c r="K71" s="263">
        <f>18200</f>
        <v>18200</v>
      </c>
      <c r="L71" s="263"/>
      <c r="M71" s="263"/>
      <c r="N71" s="263"/>
      <c r="O71" s="263"/>
      <c r="P71" s="263">
        <f t="shared" ref="P71" si="12">SUM(K71:M71)</f>
        <v>18200</v>
      </c>
      <c r="Q71" s="396"/>
      <c r="R71" s="23" t="s">
        <v>104</v>
      </c>
    </row>
    <row r="72" spans="1:18" ht="37.5" customHeight="1" x14ac:dyDescent="0.2">
      <c r="A72" s="403" t="s">
        <v>72</v>
      </c>
      <c r="B72" s="351"/>
      <c r="C72" s="440" t="s">
        <v>153</v>
      </c>
      <c r="D72" s="354" t="s">
        <v>56</v>
      </c>
      <c r="E72" s="148" t="s">
        <v>74</v>
      </c>
      <c r="F72" s="149" t="s">
        <v>27</v>
      </c>
      <c r="G72" s="150" t="s">
        <v>77</v>
      </c>
      <c r="H72" s="150" t="s">
        <v>16</v>
      </c>
      <c r="I72" s="149" t="s">
        <v>271</v>
      </c>
      <c r="J72" s="148" t="s">
        <v>80</v>
      </c>
      <c r="K72" s="263">
        <f>1200000</f>
        <v>1200000</v>
      </c>
      <c r="L72" s="263">
        <v>200000</v>
      </c>
      <c r="M72" s="263">
        <v>350000</v>
      </c>
      <c r="N72" s="263"/>
      <c r="O72" s="263"/>
      <c r="P72" s="263">
        <f>SUM(K72:M72)</f>
        <v>1750000</v>
      </c>
      <c r="Q72" s="353"/>
    </row>
    <row r="73" spans="1:18" ht="37.5" customHeight="1" x14ac:dyDescent="0.2">
      <c r="A73" s="404"/>
      <c r="B73" s="352"/>
      <c r="C73" s="441"/>
      <c r="D73" s="354" t="s">
        <v>56</v>
      </c>
      <c r="E73" s="148" t="s">
        <v>74</v>
      </c>
      <c r="F73" s="149" t="s">
        <v>27</v>
      </c>
      <c r="G73" s="150" t="s">
        <v>77</v>
      </c>
      <c r="H73" s="150" t="s">
        <v>16</v>
      </c>
      <c r="I73" s="149" t="s">
        <v>271</v>
      </c>
      <c r="J73" s="148" t="s">
        <v>80</v>
      </c>
      <c r="K73" s="263">
        <f>340000</f>
        <v>340000</v>
      </c>
      <c r="L73" s="263"/>
      <c r="M73" s="263"/>
      <c r="N73" s="263"/>
      <c r="O73" s="263"/>
      <c r="P73" s="263">
        <v>340000</v>
      </c>
      <c r="Q73" s="353"/>
    </row>
    <row r="74" spans="1:18" ht="63.75" customHeight="1" x14ac:dyDescent="0.2">
      <c r="A74" s="404"/>
      <c r="B74" s="375"/>
      <c r="C74" s="441"/>
      <c r="D74" s="354" t="s">
        <v>56</v>
      </c>
      <c r="E74" s="148" t="s">
        <v>74</v>
      </c>
      <c r="F74" s="149" t="s">
        <v>75</v>
      </c>
      <c r="G74" s="150" t="s">
        <v>77</v>
      </c>
      <c r="H74" s="150" t="s">
        <v>16</v>
      </c>
      <c r="I74" s="149" t="s">
        <v>271</v>
      </c>
      <c r="J74" s="148" t="s">
        <v>80</v>
      </c>
      <c r="K74" s="263">
        <f>320000</f>
        <v>320000</v>
      </c>
      <c r="L74" s="263"/>
      <c r="M74" s="263">
        <v>200000</v>
      </c>
      <c r="N74" s="263"/>
      <c r="O74" s="263"/>
      <c r="P74" s="263">
        <f>K74+M74</f>
        <v>520000</v>
      </c>
      <c r="Q74" s="353"/>
    </row>
    <row r="75" spans="1:18" s="350" customFormat="1" ht="59.25" customHeight="1" x14ac:dyDescent="0.2">
      <c r="A75" s="405"/>
      <c r="B75" s="221"/>
      <c r="C75" s="442"/>
      <c r="D75" s="354" t="s">
        <v>56</v>
      </c>
      <c r="E75" s="73" t="s">
        <v>74</v>
      </c>
      <c r="F75" s="74" t="s">
        <v>27</v>
      </c>
      <c r="G75" s="75" t="s">
        <v>77</v>
      </c>
      <c r="H75" s="75" t="s">
        <v>16</v>
      </c>
      <c r="I75" s="42" t="s">
        <v>271</v>
      </c>
      <c r="J75" s="355" t="s">
        <v>28</v>
      </c>
      <c r="K75" s="203"/>
      <c r="L75" s="144"/>
      <c r="M75" s="144">
        <v>208000</v>
      </c>
      <c r="N75" s="144"/>
      <c r="O75" s="144"/>
      <c r="P75" s="144">
        <f t="shared" ref="P75" si="13">SUM(K75:N75)</f>
        <v>208000</v>
      </c>
      <c r="Q75" s="353"/>
    </row>
    <row r="76" spans="1:18" s="292" customFormat="1" ht="75" customHeight="1" x14ac:dyDescent="0.2">
      <c r="A76" s="403" t="s">
        <v>73</v>
      </c>
      <c r="B76" s="403"/>
      <c r="C76" s="440" t="s">
        <v>222</v>
      </c>
      <c r="D76" s="354" t="s">
        <v>56</v>
      </c>
      <c r="E76" s="148" t="s">
        <v>74</v>
      </c>
      <c r="F76" s="149" t="s">
        <v>27</v>
      </c>
      <c r="G76" s="150" t="s">
        <v>77</v>
      </c>
      <c r="H76" s="150" t="s">
        <v>16</v>
      </c>
      <c r="I76" s="337" t="s">
        <v>270</v>
      </c>
      <c r="J76" s="148" t="s">
        <v>80</v>
      </c>
      <c r="K76" s="263"/>
      <c r="L76" s="263">
        <v>2000</v>
      </c>
      <c r="M76" s="263">
        <f>3500+2100+1600</f>
        <v>7200</v>
      </c>
      <c r="N76" s="263"/>
      <c r="O76" s="263"/>
      <c r="P76" s="263">
        <f t="shared" ref="P76:P77" si="14">SUM(K76:M76)</f>
        <v>9200</v>
      </c>
      <c r="Q76" s="353"/>
    </row>
    <row r="77" spans="1:18" s="349" customFormat="1" ht="66.75" customHeight="1" x14ac:dyDescent="0.2">
      <c r="A77" s="404"/>
      <c r="B77" s="404"/>
      <c r="C77" s="441"/>
      <c r="D77" s="361" t="s">
        <v>56</v>
      </c>
      <c r="E77" s="362" t="s">
        <v>74</v>
      </c>
      <c r="F77" s="363" t="s">
        <v>75</v>
      </c>
      <c r="G77" s="364" t="s">
        <v>77</v>
      </c>
      <c r="H77" s="364" t="s">
        <v>16</v>
      </c>
      <c r="I77" s="365" t="s">
        <v>270</v>
      </c>
      <c r="J77" s="366" t="s">
        <v>80</v>
      </c>
      <c r="K77" s="263"/>
      <c r="L77" s="263"/>
      <c r="M77" s="263">
        <f>2000+2100</f>
        <v>4100</v>
      </c>
      <c r="N77" s="263"/>
      <c r="O77" s="263"/>
      <c r="P77" s="263">
        <f t="shared" si="14"/>
        <v>4100</v>
      </c>
      <c r="Q77" s="353"/>
    </row>
    <row r="78" spans="1:18" s="350" customFormat="1" ht="66.75" customHeight="1" x14ac:dyDescent="0.2">
      <c r="A78" s="405"/>
      <c r="B78" s="405"/>
      <c r="C78" s="442"/>
      <c r="D78" s="368" t="s">
        <v>56</v>
      </c>
      <c r="E78" s="370" t="s">
        <v>74</v>
      </c>
      <c r="F78" s="371" t="s">
        <v>27</v>
      </c>
      <c r="G78" s="371" t="s">
        <v>77</v>
      </c>
      <c r="H78" s="372" t="s">
        <v>16</v>
      </c>
      <c r="I78" s="373" t="s">
        <v>270</v>
      </c>
      <c r="J78" s="374" t="s">
        <v>28</v>
      </c>
      <c r="K78" s="368"/>
      <c r="L78" s="368"/>
      <c r="M78" s="368">
        <f>4206+94</f>
        <v>4300</v>
      </c>
      <c r="N78" s="368"/>
      <c r="O78" s="368"/>
      <c r="P78" s="368">
        <f>M78</f>
        <v>4300</v>
      </c>
      <c r="Q78" s="353"/>
    </row>
    <row r="79" spans="1:18" x14ac:dyDescent="0.2">
      <c r="A79" s="114"/>
      <c r="B79" s="114"/>
      <c r="C79" s="259" t="s">
        <v>18</v>
      </c>
      <c r="D79" s="222"/>
      <c r="E79" s="259"/>
      <c r="F79" s="259"/>
      <c r="G79" s="257"/>
      <c r="H79" s="151"/>
      <c r="I79" s="256"/>
      <c r="J79" s="259"/>
      <c r="K79" s="263">
        <f>SUM(K69:K74)</f>
        <v>1893600</v>
      </c>
      <c r="L79" s="263">
        <f>SUM(L69:L76)</f>
        <v>202000</v>
      </c>
      <c r="M79" s="263">
        <f>SUM(M69:M78)</f>
        <v>773600</v>
      </c>
      <c r="N79" s="263">
        <f>SUM(N69:N74)</f>
        <v>0</v>
      </c>
      <c r="O79" s="263"/>
      <c r="P79" s="263">
        <f>SUM(P69:P78)</f>
        <v>2869200</v>
      </c>
      <c r="Q79" s="128"/>
    </row>
    <row r="80" spans="1:18" ht="15.75" customHeight="1" x14ac:dyDescent="0.2">
      <c r="A80" s="114" t="s">
        <v>19</v>
      </c>
      <c r="B80" s="118"/>
      <c r="C80" s="428" t="s">
        <v>227</v>
      </c>
      <c r="D80" s="429"/>
      <c r="E80" s="429"/>
      <c r="F80" s="429"/>
      <c r="G80" s="429"/>
      <c r="H80" s="429"/>
      <c r="I80" s="429"/>
      <c r="J80" s="429"/>
      <c r="K80" s="429"/>
      <c r="L80" s="429"/>
      <c r="M80" s="429"/>
      <c r="N80" s="429"/>
      <c r="O80" s="429"/>
      <c r="P80" s="430"/>
      <c r="Q80" s="215"/>
    </row>
    <row r="81" spans="1:18" x14ac:dyDescent="0.2">
      <c r="A81" s="403" t="s">
        <v>20</v>
      </c>
      <c r="B81" s="207"/>
      <c r="C81" s="431" t="s">
        <v>60</v>
      </c>
      <c r="D81" s="249" t="s">
        <v>56</v>
      </c>
      <c r="E81" s="148" t="s">
        <v>74</v>
      </c>
      <c r="F81" s="149" t="s">
        <v>27</v>
      </c>
      <c r="G81" s="150" t="s">
        <v>77</v>
      </c>
      <c r="H81" s="150" t="s">
        <v>16</v>
      </c>
      <c r="I81" s="105" t="s">
        <v>256</v>
      </c>
      <c r="J81" s="148" t="s">
        <v>28</v>
      </c>
      <c r="K81" s="202">
        <v>2126280</v>
      </c>
      <c r="L81" s="202">
        <v>0</v>
      </c>
      <c r="M81" s="202">
        <v>0</v>
      </c>
      <c r="N81" s="202">
        <v>0</v>
      </c>
      <c r="O81" s="202"/>
      <c r="P81" s="202">
        <f>SUM(K81:N81)</f>
        <v>2126280</v>
      </c>
      <c r="Q81" s="394" t="s">
        <v>96</v>
      </c>
      <c r="R81" s="243" t="s">
        <v>188</v>
      </c>
    </row>
    <row r="82" spans="1:18" x14ac:dyDescent="0.2">
      <c r="A82" s="404"/>
      <c r="B82" s="210"/>
      <c r="C82" s="432"/>
      <c r="D82" s="249" t="s">
        <v>56</v>
      </c>
      <c r="E82" s="148" t="s">
        <v>74</v>
      </c>
      <c r="F82" s="149" t="s">
        <v>27</v>
      </c>
      <c r="G82" s="150" t="s">
        <v>77</v>
      </c>
      <c r="H82" s="150" t="s">
        <v>16</v>
      </c>
      <c r="I82" s="105" t="s">
        <v>256</v>
      </c>
      <c r="J82" s="148" t="s">
        <v>28</v>
      </c>
      <c r="K82" s="202">
        <v>662220</v>
      </c>
      <c r="L82" s="202">
        <f>345000+65100+10000</f>
        <v>420100</v>
      </c>
      <c r="M82" s="202">
        <f>75500+30000-250+30000+30000</f>
        <v>165250</v>
      </c>
      <c r="N82" s="202">
        <f>75500+30000-250</f>
        <v>105250</v>
      </c>
      <c r="O82" s="202">
        <f>75500+30000-250</f>
        <v>105250</v>
      </c>
      <c r="P82" s="202">
        <f>SUM(K82:O82)</f>
        <v>1458070</v>
      </c>
      <c r="Q82" s="395"/>
    </row>
    <row r="83" spans="1:18" x14ac:dyDescent="0.2">
      <c r="A83" s="404"/>
      <c r="B83" s="210"/>
      <c r="C83" s="432"/>
      <c r="D83" s="249" t="s">
        <v>56</v>
      </c>
      <c r="E83" s="148" t="s">
        <v>74</v>
      </c>
      <c r="F83" s="149" t="s">
        <v>75</v>
      </c>
      <c r="G83" s="150" t="s">
        <v>77</v>
      </c>
      <c r="H83" s="150" t="s">
        <v>16</v>
      </c>
      <c r="I83" s="105" t="s">
        <v>256</v>
      </c>
      <c r="J83" s="148" t="s">
        <v>80</v>
      </c>
      <c r="K83" s="202">
        <v>18500</v>
      </c>
      <c r="L83" s="202">
        <f>20000-2050</f>
        <v>17950</v>
      </c>
      <c r="M83" s="202">
        <f>20000-2000-2100</f>
        <v>15900</v>
      </c>
      <c r="N83" s="202">
        <v>20000</v>
      </c>
      <c r="O83" s="202">
        <v>20000</v>
      </c>
      <c r="P83" s="202">
        <f t="shared" ref="P83:P92" si="15">SUM(K83:O83)</f>
        <v>92350</v>
      </c>
      <c r="Q83" s="395"/>
    </row>
    <row r="84" spans="1:18" x14ac:dyDescent="0.2">
      <c r="A84" s="404"/>
      <c r="B84" s="210"/>
      <c r="C84" s="432"/>
      <c r="D84" s="249" t="s">
        <v>56</v>
      </c>
      <c r="E84" s="264" t="s">
        <v>74</v>
      </c>
      <c r="F84" s="265" t="s">
        <v>27</v>
      </c>
      <c r="G84" s="266" t="s">
        <v>77</v>
      </c>
      <c r="H84" s="266" t="s">
        <v>16</v>
      </c>
      <c r="I84" s="105" t="s">
        <v>256</v>
      </c>
      <c r="J84" s="264" t="s">
        <v>80</v>
      </c>
      <c r="K84" s="202"/>
      <c r="L84" s="202">
        <f>1591000+20000+50000-546-2000+80000-80000-37559</f>
        <v>1620895</v>
      </c>
      <c r="M84" s="202">
        <f>537000+103000+110000-20000-3500+180000-2100-1600</f>
        <v>902800</v>
      </c>
      <c r="N84" s="202">
        <f>537000+103000+110000-20000</f>
        <v>730000</v>
      </c>
      <c r="O84" s="202">
        <f>537000+103000+110000-20000</f>
        <v>730000</v>
      </c>
      <c r="P84" s="202">
        <f t="shared" si="15"/>
        <v>3983695</v>
      </c>
      <c r="Q84" s="395"/>
    </row>
    <row r="85" spans="1:18" ht="31.5" hidden="1" x14ac:dyDescent="0.2">
      <c r="A85" s="404"/>
      <c r="B85" s="210"/>
      <c r="C85" s="432"/>
      <c r="D85" s="249" t="s">
        <v>163</v>
      </c>
      <c r="E85" s="148" t="s">
        <v>74</v>
      </c>
      <c r="F85" s="148" t="s">
        <v>27</v>
      </c>
      <c r="G85" s="257" t="s">
        <v>77</v>
      </c>
      <c r="H85" s="150" t="s">
        <v>16</v>
      </c>
      <c r="I85" s="149" t="s">
        <v>99</v>
      </c>
      <c r="J85" s="148" t="s">
        <v>80</v>
      </c>
      <c r="K85" s="202">
        <v>0</v>
      </c>
      <c r="L85" s="202">
        <f>15000+10000+20000+20000+10000+33000+10000+15000+869000+10000+20000+30000+16000+20000</f>
        <v>1098000</v>
      </c>
      <c r="M85" s="202">
        <f>15000+10000+20000+20000+10000+33000+10000+15000+869000+10000+20000+30000+16000+20000+200000</f>
        <v>1298000</v>
      </c>
      <c r="N85" s="202">
        <f>15000+10000+20000+20000+10000+33000+10000+15000+869000+10000+20000+30000+16000+20000+200000</f>
        <v>1298000</v>
      </c>
      <c r="O85" s="202">
        <f>15000+10000+20000+20000+10000+33000+10000+15000+869000+10000+20000+30000+16000+20000+200000</f>
        <v>1298000</v>
      </c>
      <c r="P85" s="202">
        <f t="shared" si="15"/>
        <v>4992000</v>
      </c>
      <c r="Q85" s="395"/>
    </row>
    <row r="86" spans="1:18" hidden="1" x14ac:dyDescent="0.2">
      <c r="A86" s="404"/>
      <c r="B86" s="210"/>
      <c r="C86" s="432"/>
      <c r="D86" s="249" t="s">
        <v>166</v>
      </c>
      <c r="E86" s="148" t="s">
        <v>74</v>
      </c>
      <c r="F86" s="149" t="s">
        <v>27</v>
      </c>
      <c r="G86" s="150" t="s">
        <v>77</v>
      </c>
      <c r="H86" s="150" t="s">
        <v>16</v>
      </c>
      <c r="I86" s="149" t="s">
        <v>99</v>
      </c>
      <c r="J86" s="148" t="s">
        <v>80</v>
      </c>
      <c r="K86" s="202">
        <v>0</v>
      </c>
      <c r="L86" s="202">
        <v>110000</v>
      </c>
      <c r="M86" s="202">
        <v>110000</v>
      </c>
      <c r="N86" s="202">
        <v>110000</v>
      </c>
      <c r="O86" s="202">
        <v>110000</v>
      </c>
      <c r="P86" s="202">
        <f t="shared" si="15"/>
        <v>440000</v>
      </c>
      <c r="Q86" s="395"/>
    </row>
    <row r="87" spans="1:18" hidden="1" x14ac:dyDescent="0.2">
      <c r="A87" s="404"/>
      <c r="B87" s="210"/>
      <c r="C87" s="432"/>
      <c r="D87" s="249" t="s">
        <v>164</v>
      </c>
      <c r="E87" s="148" t="s">
        <v>74</v>
      </c>
      <c r="F87" s="149" t="s">
        <v>27</v>
      </c>
      <c r="G87" s="150" t="s">
        <v>77</v>
      </c>
      <c r="H87" s="150" t="s">
        <v>16</v>
      </c>
      <c r="I87" s="149" t="s">
        <v>99</v>
      </c>
      <c r="J87" s="148" t="s">
        <v>80</v>
      </c>
      <c r="K87" s="202">
        <v>0</v>
      </c>
      <c r="L87" s="202">
        <f>60000+20000+28000+15000</f>
        <v>123000</v>
      </c>
      <c r="M87" s="202">
        <f t="shared" ref="M87:O87" si="16">60000+20000+28000+15000</f>
        <v>123000</v>
      </c>
      <c r="N87" s="202">
        <f t="shared" si="16"/>
        <v>123000</v>
      </c>
      <c r="O87" s="202">
        <f t="shared" si="16"/>
        <v>123000</v>
      </c>
      <c r="P87" s="202">
        <f t="shared" si="15"/>
        <v>492000</v>
      </c>
      <c r="Q87" s="395"/>
    </row>
    <row r="88" spans="1:18" hidden="1" x14ac:dyDescent="0.2">
      <c r="A88" s="404"/>
      <c r="B88" s="210"/>
      <c r="C88" s="432"/>
      <c r="D88" s="249" t="s">
        <v>165</v>
      </c>
      <c r="E88" s="148" t="s">
        <v>74</v>
      </c>
      <c r="F88" s="149" t="s">
        <v>27</v>
      </c>
      <c r="G88" s="150" t="s">
        <v>77</v>
      </c>
      <c r="H88" s="150" t="s">
        <v>16</v>
      </c>
      <c r="I88" s="149" t="s">
        <v>99</v>
      </c>
      <c r="J88" s="148" t="s">
        <v>80</v>
      </c>
      <c r="K88" s="202">
        <v>0</v>
      </c>
      <c r="L88" s="202">
        <f>10000+20000+15000</f>
        <v>45000</v>
      </c>
      <c r="M88" s="202">
        <f t="shared" ref="M88:O88" si="17">10000+20000+15000</f>
        <v>45000</v>
      </c>
      <c r="N88" s="202">
        <f t="shared" si="17"/>
        <v>45000</v>
      </c>
      <c r="O88" s="202">
        <f t="shared" si="17"/>
        <v>45000</v>
      </c>
      <c r="P88" s="202">
        <f t="shared" si="15"/>
        <v>180000</v>
      </c>
      <c r="Q88" s="395"/>
    </row>
    <row r="89" spans="1:18" ht="31.5" hidden="1" x14ac:dyDescent="0.2">
      <c r="A89" s="404"/>
      <c r="B89" s="210"/>
      <c r="C89" s="432"/>
      <c r="D89" s="249" t="s">
        <v>167</v>
      </c>
      <c r="E89" s="264" t="s">
        <v>74</v>
      </c>
      <c r="F89" s="265" t="s">
        <v>75</v>
      </c>
      <c r="G89" s="266" t="s">
        <v>77</v>
      </c>
      <c r="H89" s="266" t="s">
        <v>16</v>
      </c>
      <c r="I89" s="265" t="s">
        <v>99</v>
      </c>
      <c r="J89" s="264" t="s">
        <v>80</v>
      </c>
      <c r="K89" s="267">
        <v>18500</v>
      </c>
      <c r="L89" s="267">
        <f>10000+10000</f>
        <v>20000</v>
      </c>
      <c r="M89" s="267">
        <f t="shared" ref="M89:O89" si="18">10000+10000</f>
        <v>20000</v>
      </c>
      <c r="N89" s="267">
        <f t="shared" si="18"/>
        <v>20000</v>
      </c>
      <c r="O89" s="267">
        <f t="shared" si="18"/>
        <v>20000</v>
      </c>
      <c r="P89" s="202">
        <f t="shared" si="15"/>
        <v>98500</v>
      </c>
      <c r="Q89" s="395"/>
    </row>
    <row r="90" spans="1:18" ht="15.75" customHeight="1" x14ac:dyDescent="0.2">
      <c r="A90" s="403" t="s">
        <v>98</v>
      </c>
      <c r="B90" s="207"/>
      <c r="C90" s="425" t="s">
        <v>114</v>
      </c>
      <c r="D90" s="249" t="s">
        <v>56</v>
      </c>
      <c r="E90" s="148" t="s">
        <v>74</v>
      </c>
      <c r="F90" s="149" t="s">
        <v>27</v>
      </c>
      <c r="G90" s="150" t="s">
        <v>77</v>
      </c>
      <c r="H90" s="150" t="s">
        <v>16</v>
      </c>
      <c r="I90" s="149" t="s">
        <v>255</v>
      </c>
      <c r="J90" s="148" t="s">
        <v>28</v>
      </c>
      <c r="K90" s="202">
        <f>300000-29040-15000-100000-33600</f>
        <v>122360</v>
      </c>
      <c r="L90" s="202">
        <v>0</v>
      </c>
      <c r="M90" s="202">
        <v>0</v>
      </c>
      <c r="N90" s="202"/>
      <c r="O90" s="202"/>
      <c r="P90" s="202">
        <f t="shared" si="15"/>
        <v>122360</v>
      </c>
      <c r="Q90" s="231"/>
    </row>
    <row r="91" spans="1:18" x14ac:dyDescent="0.2">
      <c r="A91" s="405"/>
      <c r="B91" s="211"/>
      <c r="C91" s="427"/>
      <c r="D91" s="259" t="s">
        <v>56</v>
      </c>
      <c r="E91" s="148"/>
      <c r="F91" s="149"/>
      <c r="G91" s="150"/>
      <c r="H91" s="150"/>
      <c r="I91" s="149"/>
      <c r="J91" s="148"/>
      <c r="K91" s="202"/>
      <c r="L91" s="202"/>
      <c r="M91" s="202">
        <v>0</v>
      </c>
      <c r="N91" s="202"/>
      <c r="O91" s="202"/>
      <c r="P91" s="202">
        <f t="shared" si="15"/>
        <v>0</v>
      </c>
      <c r="Q91" s="232"/>
    </row>
    <row r="92" spans="1:18" x14ac:dyDescent="0.2">
      <c r="A92" s="211"/>
      <c r="B92" s="211"/>
      <c r="C92" s="250" t="s">
        <v>21</v>
      </c>
      <c r="D92" s="268"/>
      <c r="E92" s="250"/>
      <c r="F92" s="250"/>
      <c r="G92" s="269"/>
      <c r="H92" s="270"/>
      <c r="I92" s="271"/>
      <c r="J92" s="250"/>
      <c r="K92" s="272">
        <f>K81+K82+K83+K84+K90+K91</f>
        <v>2929360</v>
      </c>
      <c r="L92" s="272">
        <f>SUM(L82:L84)</f>
        <v>2058945</v>
      </c>
      <c r="M92" s="272">
        <f t="shared" ref="M92:N92" si="19">SUM(M82:M84)</f>
        <v>1083950</v>
      </c>
      <c r="N92" s="272">
        <f t="shared" si="19"/>
        <v>855250</v>
      </c>
      <c r="O92" s="272">
        <f t="shared" ref="O92" si="20">SUM(O82:O84)</f>
        <v>855250</v>
      </c>
      <c r="P92" s="202">
        <f t="shared" si="15"/>
        <v>7782755</v>
      </c>
      <c r="Q92" s="128"/>
    </row>
    <row r="93" spans="1:18" ht="31.5" x14ac:dyDescent="0.2">
      <c r="A93" s="403" t="s">
        <v>19</v>
      </c>
      <c r="B93" s="411" t="s">
        <v>53</v>
      </c>
      <c r="C93" s="414" t="s">
        <v>199</v>
      </c>
      <c r="D93" s="222" t="s">
        <v>142</v>
      </c>
      <c r="E93" s="254"/>
      <c r="F93" s="254"/>
      <c r="G93" s="254"/>
      <c r="H93" s="254"/>
      <c r="I93" s="254"/>
      <c r="J93" s="254"/>
      <c r="K93" s="213">
        <f>K110+K113+K122+K141+K151</f>
        <v>13644150.699999999</v>
      </c>
      <c r="L93" s="213">
        <f>L110+L113+L122+L141+L151</f>
        <v>15354612.059999999</v>
      </c>
      <c r="M93" s="213">
        <f>M110+M113+M122+M141+M151</f>
        <v>12600562.359999999</v>
      </c>
      <c r="N93" s="213">
        <f>N110+N113+N122+N141+N151</f>
        <v>12057989.939999999</v>
      </c>
      <c r="O93" s="213">
        <f>O110+O113+O122+O141+O151</f>
        <v>12057989.939999999</v>
      </c>
      <c r="P93" s="255">
        <f>SUM(K93:O93)</f>
        <v>65715304.999999993</v>
      </c>
      <c r="Q93" s="215"/>
    </row>
    <row r="94" spans="1:18" x14ac:dyDescent="0.2">
      <c r="A94" s="404"/>
      <c r="B94" s="412"/>
      <c r="C94" s="417"/>
      <c r="D94" s="222" t="s">
        <v>25</v>
      </c>
      <c r="E94" s="254"/>
      <c r="F94" s="254"/>
      <c r="G94" s="254"/>
      <c r="H94" s="254"/>
      <c r="I94" s="254"/>
      <c r="J94" s="254"/>
      <c r="K94" s="213"/>
      <c r="L94" s="254"/>
      <c r="M94" s="254"/>
      <c r="N94" s="254"/>
      <c r="O94" s="254"/>
      <c r="P94" s="255">
        <f t="shared" ref="P94:P97" si="21">SUM(K94:O94)</f>
        <v>0</v>
      </c>
      <c r="Q94" s="215"/>
    </row>
    <row r="95" spans="1:18" ht="63.75" customHeight="1" x14ac:dyDescent="0.2">
      <c r="A95" s="404"/>
      <c r="B95" s="412"/>
      <c r="C95" s="417"/>
      <c r="D95" s="222" t="s">
        <v>196</v>
      </c>
      <c r="E95" s="254" t="s">
        <v>48</v>
      </c>
      <c r="F95" s="254" t="s">
        <v>48</v>
      </c>
      <c r="G95" s="254" t="s">
        <v>48</v>
      </c>
      <c r="H95" s="254" t="s">
        <v>48</v>
      </c>
      <c r="I95" s="254" t="s">
        <v>48</v>
      </c>
      <c r="J95" s="254" t="s">
        <v>48</v>
      </c>
      <c r="K95" s="213">
        <f>425269.2+65974.35+400000+76955.72</f>
        <v>968199.27</v>
      </c>
      <c r="L95" s="213">
        <f>L101+L103+L104+L108+L138+L139+L140+L150</f>
        <v>1262658.05</v>
      </c>
      <c r="M95" s="213">
        <f>M101+M103</f>
        <v>169961.31</v>
      </c>
      <c r="N95" s="213"/>
      <c r="O95" s="213"/>
      <c r="P95" s="255">
        <f t="shared" si="21"/>
        <v>2400818.6300000004</v>
      </c>
      <c r="Q95" s="215"/>
    </row>
    <row r="96" spans="1:18" ht="64.5" customHeight="1" x14ac:dyDescent="0.2">
      <c r="A96" s="404"/>
      <c r="B96" s="412"/>
      <c r="C96" s="417"/>
      <c r="D96" s="222" t="s">
        <v>197</v>
      </c>
      <c r="E96" s="254" t="s">
        <v>48</v>
      </c>
      <c r="F96" s="254" t="s">
        <v>48</v>
      </c>
      <c r="G96" s="254" t="s">
        <v>48</v>
      </c>
      <c r="H96" s="254" t="s">
        <v>48</v>
      </c>
      <c r="I96" s="254" t="s">
        <v>48</v>
      </c>
      <c r="J96" s="254" t="s">
        <v>48</v>
      </c>
      <c r="K96" s="213">
        <f>K110+K113+K122+K141+K151-K95</f>
        <v>12675951.43</v>
      </c>
      <c r="L96" s="213">
        <f>L110+L113+L122+L141+L151-L95</f>
        <v>14091954.009999998</v>
      </c>
      <c r="M96" s="213">
        <f>M110+M113+M122+M141+M151-M95</f>
        <v>12430601.049999999</v>
      </c>
      <c r="N96" s="213">
        <f>N110+N113+N122+N141+N151-N95</f>
        <v>12057989.939999999</v>
      </c>
      <c r="O96" s="213">
        <f>O110+O113+O122+O141+O151-O95</f>
        <v>12057989.939999999</v>
      </c>
      <c r="P96" s="255">
        <f t="shared" si="21"/>
        <v>63314486.36999999</v>
      </c>
      <c r="Q96" s="215"/>
    </row>
    <row r="97" spans="1:18" ht="0.75" hidden="1" customHeight="1" x14ac:dyDescent="0.2">
      <c r="A97" s="405"/>
      <c r="B97" s="413"/>
      <c r="C97" s="418"/>
      <c r="D97" s="222"/>
      <c r="E97" s="254"/>
      <c r="F97" s="254"/>
      <c r="G97" s="254"/>
      <c r="H97" s="254"/>
      <c r="I97" s="254"/>
      <c r="J97" s="254"/>
      <c r="K97" s="213"/>
      <c r="L97" s="213"/>
      <c r="M97" s="213"/>
      <c r="N97" s="213"/>
      <c r="O97" s="213"/>
      <c r="P97" s="255">
        <f t="shared" si="21"/>
        <v>0</v>
      </c>
      <c r="Q97" s="212"/>
    </row>
    <row r="98" spans="1:18" ht="15.75" customHeight="1" x14ac:dyDescent="0.2">
      <c r="A98" s="114" t="s">
        <v>13</v>
      </c>
      <c r="B98" s="118"/>
      <c r="C98" s="428" t="s">
        <v>32</v>
      </c>
      <c r="D98" s="429"/>
      <c r="E98" s="429"/>
      <c r="F98" s="429"/>
      <c r="G98" s="429"/>
      <c r="H98" s="429"/>
      <c r="I98" s="429"/>
      <c r="J98" s="429"/>
      <c r="K98" s="429"/>
      <c r="L98" s="429"/>
      <c r="M98" s="429"/>
      <c r="N98" s="429"/>
      <c r="O98" s="429"/>
      <c r="P98" s="430"/>
      <c r="Q98" s="212"/>
    </row>
    <row r="99" spans="1:18" ht="78.75" x14ac:dyDescent="0.2">
      <c r="A99" s="403" t="s">
        <v>30</v>
      </c>
      <c r="B99" s="207"/>
      <c r="C99" s="259" t="s">
        <v>125</v>
      </c>
      <c r="D99" s="259" t="s">
        <v>56</v>
      </c>
      <c r="E99" s="148" t="s">
        <v>74</v>
      </c>
      <c r="F99" s="148" t="s">
        <v>75</v>
      </c>
      <c r="G99" s="257" t="s">
        <v>77</v>
      </c>
      <c r="H99" s="151">
        <v>3</v>
      </c>
      <c r="I99" s="42" t="s">
        <v>252</v>
      </c>
      <c r="J99" s="148" t="s">
        <v>78</v>
      </c>
      <c r="K99" s="202">
        <f>8302599.58+430220</f>
        <v>8732819.5800000001</v>
      </c>
      <c r="L99" s="202">
        <v>9721438.6699999999</v>
      </c>
      <c r="M99" s="202">
        <f>9858916.43+260711.73+309600+63011.11-202.52</f>
        <v>10492036.75</v>
      </c>
      <c r="N99" s="202">
        <v>10119628.16</v>
      </c>
      <c r="O99" s="202">
        <f>N99</f>
        <v>10119628.16</v>
      </c>
      <c r="P99" s="202">
        <f>SUM(K99:O99)</f>
        <v>49185551.319999993</v>
      </c>
      <c r="Q99" s="394" t="s">
        <v>88</v>
      </c>
    </row>
    <row r="100" spans="1:18" s="189" customFormat="1" ht="81.75" customHeight="1" x14ac:dyDescent="0.2">
      <c r="A100" s="404"/>
      <c r="B100" s="210"/>
      <c r="C100" s="259" t="s">
        <v>176</v>
      </c>
      <c r="D100" s="259" t="s">
        <v>56</v>
      </c>
      <c r="E100" s="148" t="s">
        <v>74</v>
      </c>
      <c r="F100" s="149" t="s">
        <v>75</v>
      </c>
      <c r="G100" s="150" t="s">
        <v>77</v>
      </c>
      <c r="H100" s="151">
        <v>3</v>
      </c>
      <c r="I100" s="149" t="s">
        <v>263</v>
      </c>
      <c r="J100" s="149" t="s">
        <v>78</v>
      </c>
      <c r="K100" s="202">
        <v>13524.67</v>
      </c>
      <c r="L100" s="202"/>
      <c r="M100" s="202"/>
      <c r="N100" s="202"/>
      <c r="O100" s="202"/>
      <c r="P100" s="202">
        <f t="shared" ref="P100:P109" si="22">SUM(K100:O100)</f>
        <v>13524.67</v>
      </c>
      <c r="Q100" s="395"/>
    </row>
    <row r="101" spans="1:18" ht="126" x14ac:dyDescent="0.2">
      <c r="A101" s="404"/>
      <c r="B101" s="210"/>
      <c r="C101" s="259" t="s">
        <v>139</v>
      </c>
      <c r="D101" s="259" t="s">
        <v>56</v>
      </c>
      <c r="E101" s="148" t="s">
        <v>74</v>
      </c>
      <c r="F101" s="149" t="s">
        <v>75</v>
      </c>
      <c r="G101" s="150" t="s">
        <v>77</v>
      </c>
      <c r="H101" s="151">
        <v>3</v>
      </c>
      <c r="I101" s="149" t="s">
        <v>260</v>
      </c>
      <c r="J101" s="149" t="s">
        <v>78</v>
      </c>
      <c r="K101" s="202">
        <f>316171.33+63431.05</f>
        <v>379602.38</v>
      </c>
      <c r="L101" s="202">
        <v>230464.58</v>
      </c>
      <c r="M101" s="202">
        <v>17672.509999999998</v>
      </c>
      <c r="N101" s="202"/>
      <c r="O101" s="202"/>
      <c r="P101" s="202">
        <f t="shared" si="22"/>
        <v>627739.47</v>
      </c>
      <c r="Q101" s="434"/>
    </row>
    <row r="102" spans="1:18" ht="157.5" x14ac:dyDescent="0.2">
      <c r="A102" s="404"/>
      <c r="B102" s="210"/>
      <c r="C102" s="259" t="s">
        <v>140</v>
      </c>
      <c r="D102" s="259" t="s">
        <v>56</v>
      </c>
      <c r="E102" s="148" t="s">
        <v>74</v>
      </c>
      <c r="F102" s="149" t="s">
        <v>75</v>
      </c>
      <c r="G102" s="150" t="s">
        <v>77</v>
      </c>
      <c r="H102" s="151">
        <v>3</v>
      </c>
      <c r="I102" s="149" t="s">
        <v>261</v>
      </c>
      <c r="J102" s="149" t="s">
        <v>78</v>
      </c>
      <c r="K102" s="202">
        <v>4111.0200000000004</v>
      </c>
      <c r="L102" s="202">
        <v>2669.95</v>
      </c>
      <c r="M102" s="202">
        <f>202.52</f>
        <v>202.52</v>
      </c>
      <c r="N102" s="202"/>
      <c r="O102" s="202"/>
      <c r="P102" s="202">
        <f t="shared" si="22"/>
        <v>6983.4900000000007</v>
      </c>
      <c r="Q102" s="424"/>
    </row>
    <row r="103" spans="1:18" ht="63" x14ac:dyDescent="0.2">
      <c r="A103" s="405"/>
      <c r="B103" s="211"/>
      <c r="C103" s="259" t="s">
        <v>141</v>
      </c>
      <c r="D103" s="259" t="s">
        <v>56</v>
      </c>
      <c r="E103" s="149" t="s">
        <v>74</v>
      </c>
      <c r="F103" s="149" t="s">
        <v>75</v>
      </c>
      <c r="G103" s="150" t="s">
        <v>77</v>
      </c>
      <c r="H103" s="151">
        <v>3</v>
      </c>
      <c r="I103" s="149" t="s">
        <v>267</v>
      </c>
      <c r="J103" s="149" t="s">
        <v>78</v>
      </c>
      <c r="K103" s="202">
        <f>141865.92+65974.35</f>
        <v>207840.27000000002</v>
      </c>
      <c r="L103" s="202">
        <v>151884.69</v>
      </c>
      <c r="M103" s="202">
        <v>152288.79999999999</v>
      </c>
      <c r="N103" s="202"/>
      <c r="O103" s="202"/>
      <c r="P103" s="202">
        <f t="shared" si="22"/>
        <v>512013.76</v>
      </c>
      <c r="Q103" s="233"/>
      <c r="R103" s="23" t="s">
        <v>104</v>
      </c>
    </row>
    <row r="104" spans="1:18" ht="141.75" x14ac:dyDescent="0.2">
      <c r="A104" s="114" t="s">
        <v>14</v>
      </c>
      <c r="B104" s="114"/>
      <c r="C104" s="259" t="s">
        <v>33</v>
      </c>
      <c r="D104" s="259" t="s">
        <v>56</v>
      </c>
      <c r="E104" s="148" t="s">
        <v>74</v>
      </c>
      <c r="F104" s="148" t="s">
        <v>75</v>
      </c>
      <c r="G104" s="257" t="s">
        <v>77</v>
      </c>
      <c r="H104" s="151">
        <v>3</v>
      </c>
      <c r="I104" s="149" t="s">
        <v>272</v>
      </c>
      <c r="J104" s="148" t="s">
        <v>80</v>
      </c>
      <c r="K104" s="202"/>
      <c r="L104" s="202">
        <v>202950</v>
      </c>
      <c r="M104" s="202"/>
      <c r="N104" s="202"/>
      <c r="O104" s="202"/>
      <c r="P104" s="202">
        <f t="shared" si="22"/>
        <v>202950</v>
      </c>
      <c r="Q104" s="228" t="s">
        <v>92</v>
      </c>
    </row>
    <row r="105" spans="1:18" ht="94.5" x14ac:dyDescent="0.2">
      <c r="A105" s="114" t="s">
        <v>57</v>
      </c>
      <c r="B105" s="207"/>
      <c r="C105" s="249" t="s">
        <v>115</v>
      </c>
      <c r="D105" s="259" t="s">
        <v>56</v>
      </c>
      <c r="E105" s="148" t="s">
        <v>74</v>
      </c>
      <c r="F105" s="148" t="s">
        <v>75</v>
      </c>
      <c r="G105" s="257" t="s">
        <v>77</v>
      </c>
      <c r="H105" s="151">
        <v>3</v>
      </c>
      <c r="I105" s="149" t="s">
        <v>268</v>
      </c>
      <c r="J105" s="148" t="s">
        <v>80</v>
      </c>
      <c r="K105" s="202">
        <v>0</v>
      </c>
      <c r="L105" s="202">
        <v>0</v>
      </c>
      <c r="M105" s="202">
        <v>0</v>
      </c>
      <c r="N105" s="202"/>
      <c r="O105" s="202"/>
      <c r="P105" s="202">
        <f t="shared" si="22"/>
        <v>0</v>
      </c>
      <c r="Q105" s="228" t="s">
        <v>106</v>
      </c>
    </row>
    <row r="106" spans="1:18" ht="42.75" customHeight="1" x14ac:dyDescent="0.2">
      <c r="A106" s="114" t="s">
        <v>103</v>
      </c>
      <c r="B106" s="207"/>
      <c r="C106" s="249" t="s">
        <v>34</v>
      </c>
      <c r="D106" s="259" t="s">
        <v>56</v>
      </c>
      <c r="E106" s="148" t="s">
        <v>74</v>
      </c>
      <c r="F106" s="148" t="s">
        <v>27</v>
      </c>
      <c r="G106" s="257" t="s">
        <v>77</v>
      </c>
      <c r="H106" s="151">
        <v>3</v>
      </c>
      <c r="I106" s="149" t="s">
        <v>273</v>
      </c>
      <c r="J106" s="148" t="s">
        <v>80</v>
      </c>
      <c r="K106" s="202">
        <f>300+62924</f>
        <v>63224</v>
      </c>
      <c r="L106" s="202">
        <v>0</v>
      </c>
      <c r="M106" s="202">
        <v>0</v>
      </c>
      <c r="N106" s="202"/>
      <c r="O106" s="202"/>
      <c r="P106" s="202">
        <f t="shared" si="22"/>
        <v>63224</v>
      </c>
      <c r="Q106" s="228" t="s">
        <v>93</v>
      </c>
    </row>
    <row r="107" spans="1:18" s="292" customFormat="1" ht="189" x14ac:dyDescent="0.2">
      <c r="A107" s="293" t="s">
        <v>161</v>
      </c>
      <c r="B107" s="114"/>
      <c r="C107" s="296" t="s">
        <v>224</v>
      </c>
      <c r="D107" s="259" t="s">
        <v>56</v>
      </c>
      <c r="E107" s="148" t="s">
        <v>74</v>
      </c>
      <c r="F107" s="148" t="s">
        <v>75</v>
      </c>
      <c r="G107" s="257" t="s">
        <v>77</v>
      </c>
      <c r="H107" s="151">
        <v>3</v>
      </c>
      <c r="I107" s="149" t="s">
        <v>274</v>
      </c>
      <c r="J107" s="148" t="s">
        <v>80</v>
      </c>
      <c r="K107" s="202"/>
      <c r="L107" s="202">
        <v>2050</v>
      </c>
      <c r="M107" s="202"/>
      <c r="N107" s="202"/>
      <c r="O107" s="202"/>
      <c r="P107" s="202">
        <f t="shared" si="22"/>
        <v>2050</v>
      </c>
      <c r="Q107" s="228" t="s">
        <v>92</v>
      </c>
    </row>
    <row r="108" spans="1:18" s="292" customFormat="1" ht="42.75" customHeight="1" x14ac:dyDescent="0.2">
      <c r="A108" s="293" t="s">
        <v>177</v>
      </c>
      <c r="B108" s="290"/>
      <c r="C108" s="291" t="s">
        <v>34</v>
      </c>
      <c r="D108" s="259" t="s">
        <v>56</v>
      </c>
      <c r="E108" s="148" t="s">
        <v>74</v>
      </c>
      <c r="F108" s="148" t="s">
        <v>27</v>
      </c>
      <c r="G108" s="257" t="s">
        <v>77</v>
      </c>
      <c r="H108" s="151">
        <v>3</v>
      </c>
      <c r="I108" s="149" t="s">
        <v>275</v>
      </c>
      <c r="J108" s="148" t="s">
        <v>80</v>
      </c>
      <c r="K108" s="202"/>
      <c r="L108" s="202">
        <v>54000</v>
      </c>
      <c r="M108" s="202">
        <v>0</v>
      </c>
      <c r="N108" s="202"/>
      <c r="O108" s="202"/>
      <c r="P108" s="202">
        <f t="shared" si="22"/>
        <v>54000</v>
      </c>
      <c r="Q108" s="228" t="s">
        <v>93</v>
      </c>
    </row>
    <row r="109" spans="1:18" s="292" customFormat="1" ht="68.25" customHeight="1" x14ac:dyDescent="0.2">
      <c r="A109" s="293" t="s">
        <v>202</v>
      </c>
      <c r="B109" s="290"/>
      <c r="C109" s="260" t="s">
        <v>223</v>
      </c>
      <c r="D109" s="259" t="s">
        <v>56</v>
      </c>
      <c r="E109" s="148" t="s">
        <v>74</v>
      </c>
      <c r="F109" s="148" t="s">
        <v>27</v>
      </c>
      <c r="G109" s="257" t="s">
        <v>77</v>
      </c>
      <c r="H109" s="151">
        <v>3</v>
      </c>
      <c r="I109" s="149" t="s">
        <v>273</v>
      </c>
      <c r="J109" s="148" t="s">
        <v>80</v>
      </c>
      <c r="K109" s="202"/>
      <c r="L109" s="202">
        <v>546</v>
      </c>
      <c r="M109" s="202">
        <v>0</v>
      </c>
      <c r="N109" s="202"/>
      <c r="O109" s="202"/>
      <c r="P109" s="202">
        <f t="shared" si="22"/>
        <v>546</v>
      </c>
      <c r="Q109" s="228" t="s">
        <v>93</v>
      </c>
    </row>
    <row r="110" spans="1:18" x14ac:dyDescent="0.2">
      <c r="A110" s="114"/>
      <c r="B110" s="114"/>
      <c r="C110" s="259" t="s">
        <v>15</v>
      </c>
      <c r="D110" s="222"/>
      <c r="E110" s="259"/>
      <c r="F110" s="259"/>
      <c r="G110" s="257"/>
      <c r="H110" s="151"/>
      <c r="I110" s="256"/>
      <c r="J110" s="259"/>
      <c r="K110" s="202">
        <f>SUM(K99:K106)</f>
        <v>9401121.9199999999</v>
      </c>
      <c r="L110" s="202">
        <f>SUM(L99:L109)</f>
        <v>10366003.889999999</v>
      </c>
      <c r="M110" s="202">
        <f>SUM(M99:M106)</f>
        <v>10662200.58</v>
      </c>
      <c r="N110" s="202">
        <f>SUM(N99:N106)</f>
        <v>10119628.16</v>
      </c>
      <c r="O110" s="202">
        <f>SUM(O99:O106)</f>
        <v>10119628.16</v>
      </c>
      <c r="P110" s="202">
        <f>K110+L110+M110+N110+O110</f>
        <v>50668582.709999993</v>
      </c>
      <c r="Q110" s="128"/>
    </row>
    <row r="111" spans="1:18" ht="15.75" customHeight="1" x14ac:dyDescent="0.2">
      <c r="A111" s="114" t="s">
        <v>16</v>
      </c>
      <c r="B111" s="118"/>
      <c r="C111" s="428" t="s">
        <v>35</v>
      </c>
      <c r="D111" s="429"/>
      <c r="E111" s="429"/>
      <c r="F111" s="429"/>
      <c r="G111" s="429"/>
      <c r="H111" s="429"/>
      <c r="I111" s="429"/>
      <c r="J111" s="429"/>
      <c r="K111" s="429"/>
      <c r="L111" s="429"/>
      <c r="M111" s="429"/>
      <c r="N111" s="429"/>
      <c r="O111" s="429"/>
      <c r="P111" s="430"/>
      <c r="Q111" s="215"/>
    </row>
    <row r="112" spans="1:18" ht="125.25" customHeight="1" x14ac:dyDescent="0.2">
      <c r="A112" s="207" t="s">
        <v>17</v>
      </c>
      <c r="B112" s="207"/>
      <c r="C112" s="273" t="s">
        <v>36</v>
      </c>
      <c r="D112" s="249" t="s">
        <v>56</v>
      </c>
      <c r="E112" s="148"/>
      <c r="F112" s="148"/>
      <c r="G112" s="257"/>
      <c r="H112" s="151"/>
      <c r="I112" s="149"/>
      <c r="J112" s="148"/>
      <c r="K112" s="263"/>
      <c r="L112" s="263"/>
      <c r="M112" s="263"/>
      <c r="N112" s="263"/>
      <c r="O112" s="263"/>
      <c r="P112" s="263">
        <f>SUM(K112:M112)</f>
        <v>0</v>
      </c>
      <c r="Q112" s="228" t="s">
        <v>94</v>
      </c>
    </row>
    <row r="113" spans="1:17" x14ac:dyDescent="0.2">
      <c r="A113" s="114"/>
      <c r="B113" s="114"/>
      <c r="C113" s="259" t="s">
        <v>18</v>
      </c>
      <c r="D113" s="222"/>
      <c r="E113" s="259"/>
      <c r="F113" s="259"/>
      <c r="G113" s="257"/>
      <c r="H113" s="151"/>
      <c r="I113" s="256"/>
      <c r="J113" s="259"/>
      <c r="K113" s="274">
        <f>SUM(K112:K112)</f>
        <v>0</v>
      </c>
      <c r="L113" s="274">
        <f>SUM(L112:L112)</f>
        <v>0</v>
      </c>
      <c r="M113" s="274">
        <f>SUM(M112:M112)</f>
        <v>0</v>
      </c>
      <c r="N113" s="274">
        <f>SUM(N112:N112)</f>
        <v>0</v>
      </c>
      <c r="O113" s="274"/>
      <c r="P113" s="274">
        <f>SUM(P112:P112)</f>
        <v>0</v>
      </c>
      <c r="Q113" s="128"/>
    </row>
    <row r="114" spans="1:17" ht="15.75" customHeight="1" x14ac:dyDescent="0.2">
      <c r="A114" s="114" t="s">
        <v>19</v>
      </c>
      <c r="B114" s="118"/>
      <c r="C114" s="428" t="s">
        <v>37</v>
      </c>
      <c r="D114" s="429"/>
      <c r="E114" s="429"/>
      <c r="F114" s="429"/>
      <c r="G114" s="429"/>
      <c r="H114" s="429"/>
      <c r="I114" s="429"/>
      <c r="J114" s="429"/>
      <c r="K114" s="429"/>
      <c r="L114" s="429"/>
      <c r="M114" s="429"/>
      <c r="N114" s="429"/>
      <c r="O114" s="429"/>
      <c r="P114" s="430"/>
      <c r="Q114" s="215"/>
    </row>
    <row r="115" spans="1:17" x14ac:dyDescent="0.2">
      <c r="A115" s="403" t="s">
        <v>20</v>
      </c>
      <c r="B115" s="207"/>
      <c r="C115" s="425" t="s">
        <v>132</v>
      </c>
      <c r="D115" s="249" t="s">
        <v>56</v>
      </c>
      <c r="E115" s="148" t="s">
        <v>74</v>
      </c>
      <c r="F115" s="148" t="s">
        <v>27</v>
      </c>
      <c r="G115" s="257" t="s">
        <v>77</v>
      </c>
      <c r="H115" s="151">
        <v>3</v>
      </c>
      <c r="I115" s="149" t="s">
        <v>276</v>
      </c>
      <c r="J115" s="148" t="s">
        <v>80</v>
      </c>
      <c r="K115" s="263">
        <f>16000+4000</f>
        <v>20000</v>
      </c>
      <c r="L115" s="263"/>
      <c r="M115" s="263"/>
      <c r="N115" s="263"/>
      <c r="O115" s="263"/>
      <c r="P115" s="263">
        <f>SUM(K115:O115)</f>
        <v>20000</v>
      </c>
      <c r="Q115" s="394" t="s">
        <v>89</v>
      </c>
    </row>
    <row r="116" spans="1:17" x14ac:dyDescent="0.2">
      <c r="A116" s="405"/>
      <c r="B116" s="211"/>
      <c r="C116" s="427"/>
      <c r="D116" s="249" t="s">
        <v>56</v>
      </c>
      <c r="E116" s="148" t="s">
        <v>74</v>
      </c>
      <c r="F116" s="149" t="s">
        <v>27</v>
      </c>
      <c r="G116" s="150" t="s">
        <v>77</v>
      </c>
      <c r="H116" s="151">
        <v>3</v>
      </c>
      <c r="I116" s="149" t="s">
        <v>276</v>
      </c>
      <c r="J116" s="148" t="s">
        <v>28</v>
      </c>
      <c r="K116" s="263">
        <f>15000+3880</f>
        <v>18880</v>
      </c>
      <c r="L116" s="263"/>
      <c r="M116" s="263"/>
      <c r="N116" s="263"/>
      <c r="O116" s="263"/>
      <c r="P116" s="263">
        <f t="shared" ref="P116:P121" si="23">SUM(K116:O116)</f>
        <v>18880</v>
      </c>
      <c r="Q116" s="396"/>
    </row>
    <row r="117" spans="1:17" x14ac:dyDescent="0.2">
      <c r="A117" s="403" t="s">
        <v>98</v>
      </c>
      <c r="B117" s="207"/>
      <c r="C117" s="425" t="s">
        <v>116</v>
      </c>
      <c r="D117" s="249" t="s">
        <v>56</v>
      </c>
      <c r="E117" s="148" t="s">
        <v>74</v>
      </c>
      <c r="F117" s="149" t="s">
        <v>27</v>
      </c>
      <c r="G117" s="150" t="s">
        <v>77</v>
      </c>
      <c r="H117" s="151">
        <v>3</v>
      </c>
      <c r="I117" s="149" t="s">
        <v>277</v>
      </c>
      <c r="J117" s="148" t="s">
        <v>80</v>
      </c>
      <c r="K117" s="263">
        <v>90000</v>
      </c>
      <c r="L117" s="263"/>
      <c r="M117" s="263"/>
      <c r="N117" s="263"/>
      <c r="O117" s="263"/>
      <c r="P117" s="263">
        <f t="shared" si="23"/>
        <v>90000</v>
      </c>
      <c r="Q117" s="394" t="s">
        <v>107</v>
      </c>
    </row>
    <row r="118" spans="1:17" x14ac:dyDescent="0.2">
      <c r="A118" s="405"/>
      <c r="B118" s="211"/>
      <c r="C118" s="427"/>
      <c r="D118" s="249" t="s">
        <v>56</v>
      </c>
      <c r="E118" s="148" t="s">
        <v>74</v>
      </c>
      <c r="F118" s="149" t="s">
        <v>27</v>
      </c>
      <c r="G118" s="150" t="s">
        <v>77</v>
      </c>
      <c r="H118" s="151">
        <v>3</v>
      </c>
      <c r="I118" s="149" t="s">
        <v>277</v>
      </c>
      <c r="J118" s="148" t="s">
        <v>28</v>
      </c>
      <c r="K118" s="263">
        <v>0</v>
      </c>
      <c r="L118" s="263"/>
      <c r="M118" s="263"/>
      <c r="N118" s="263"/>
      <c r="O118" s="263"/>
      <c r="P118" s="263">
        <f t="shared" si="23"/>
        <v>0</v>
      </c>
      <c r="Q118" s="396"/>
    </row>
    <row r="119" spans="1:17" ht="43.5" customHeight="1" x14ac:dyDescent="0.2">
      <c r="A119" s="403" t="s">
        <v>135</v>
      </c>
      <c r="B119" s="403"/>
      <c r="C119" s="425" t="s">
        <v>133</v>
      </c>
      <c r="D119" s="425" t="s">
        <v>56</v>
      </c>
      <c r="E119" s="148" t="s">
        <v>74</v>
      </c>
      <c r="F119" s="149" t="s">
        <v>27</v>
      </c>
      <c r="G119" s="150" t="s">
        <v>77</v>
      </c>
      <c r="H119" s="151">
        <v>3</v>
      </c>
      <c r="I119" s="152" t="s">
        <v>278</v>
      </c>
      <c r="J119" s="148" t="s">
        <v>28</v>
      </c>
      <c r="K119" s="263">
        <v>75500</v>
      </c>
      <c r="L119" s="263"/>
      <c r="M119" s="263"/>
      <c r="N119" s="263"/>
      <c r="O119" s="263"/>
      <c r="P119" s="263">
        <f t="shared" si="23"/>
        <v>75500</v>
      </c>
      <c r="Q119" s="226"/>
    </row>
    <row r="120" spans="1:17" ht="42" customHeight="1" x14ac:dyDescent="0.2">
      <c r="A120" s="405"/>
      <c r="B120" s="404"/>
      <c r="C120" s="427"/>
      <c r="D120" s="427"/>
      <c r="E120" s="261" t="s">
        <v>74</v>
      </c>
      <c r="F120" s="152" t="s">
        <v>27</v>
      </c>
      <c r="G120" s="262" t="s">
        <v>77</v>
      </c>
      <c r="H120" s="275">
        <v>3</v>
      </c>
      <c r="I120" s="152" t="s">
        <v>278</v>
      </c>
      <c r="J120" s="152" t="s">
        <v>80</v>
      </c>
      <c r="K120" s="263">
        <v>80000</v>
      </c>
      <c r="L120" s="263"/>
      <c r="M120" s="263"/>
      <c r="N120" s="263"/>
      <c r="O120" s="263"/>
      <c r="P120" s="263">
        <f t="shared" si="23"/>
        <v>80000</v>
      </c>
      <c r="Q120" s="226"/>
    </row>
    <row r="121" spans="1:17" ht="78.75" x14ac:dyDescent="0.2">
      <c r="A121" s="207" t="s">
        <v>134</v>
      </c>
      <c r="B121" s="210"/>
      <c r="C121" s="268" t="s">
        <v>117</v>
      </c>
      <c r="D121" s="273" t="s">
        <v>56</v>
      </c>
      <c r="E121" s="148" t="s">
        <v>74</v>
      </c>
      <c r="F121" s="149" t="s">
        <v>26</v>
      </c>
      <c r="G121" s="150" t="s">
        <v>77</v>
      </c>
      <c r="H121" s="151">
        <v>3</v>
      </c>
      <c r="I121" s="149" t="s">
        <v>279</v>
      </c>
      <c r="J121" s="148" t="s">
        <v>28</v>
      </c>
      <c r="K121" s="263">
        <v>250000</v>
      </c>
      <c r="L121" s="263">
        <f>250000-20000</f>
        <v>230000</v>
      </c>
      <c r="M121" s="263">
        <f>124500+20000</f>
        <v>144500</v>
      </c>
      <c r="N121" s="263">
        <f>124500+20000</f>
        <v>144500</v>
      </c>
      <c r="O121" s="263">
        <f>124500+20000</f>
        <v>144500</v>
      </c>
      <c r="P121" s="263">
        <f t="shared" si="23"/>
        <v>913500</v>
      </c>
      <c r="Q121" s="226"/>
    </row>
    <row r="122" spans="1:17" x14ac:dyDescent="0.2">
      <c r="A122" s="114"/>
      <c r="B122" s="114"/>
      <c r="C122" s="259" t="s">
        <v>21</v>
      </c>
      <c r="D122" s="222"/>
      <c r="E122" s="259"/>
      <c r="F122" s="259"/>
      <c r="G122" s="257"/>
      <c r="H122" s="151"/>
      <c r="I122" s="256"/>
      <c r="J122" s="259"/>
      <c r="K122" s="263">
        <f>SUM(K115:K121)</f>
        <v>534380</v>
      </c>
      <c r="L122" s="263">
        <f t="shared" ref="L122" si="24">SUM(L115:L121)</f>
        <v>230000</v>
      </c>
      <c r="M122" s="263">
        <f>SUM(M115:M121)</f>
        <v>144500</v>
      </c>
      <c r="N122" s="263">
        <f t="shared" ref="N122:O122" si="25">SUM(N115:N121)</f>
        <v>144500</v>
      </c>
      <c r="O122" s="263">
        <f t="shared" si="25"/>
        <v>144500</v>
      </c>
      <c r="P122" s="263">
        <f>SUM(P115:P121)</f>
        <v>1197880</v>
      </c>
      <c r="Q122" s="128"/>
    </row>
    <row r="123" spans="1:17" ht="15.75" customHeight="1" x14ac:dyDescent="0.2">
      <c r="A123" s="114" t="s">
        <v>22</v>
      </c>
      <c r="B123" s="118"/>
      <c r="C123" s="428" t="s">
        <v>38</v>
      </c>
      <c r="D123" s="429"/>
      <c r="E123" s="429"/>
      <c r="F123" s="429"/>
      <c r="G123" s="429"/>
      <c r="H123" s="429"/>
      <c r="I123" s="429"/>
      <c r="J123" s="429"/>
      <c r="K123" s="429"/>
      <c r="L123" s="429"/>
      <c r="M123" s="429"/>
      <c r="N123" s="429"/>
      <c r="O123" s="429"/>
      <c r="P123" s="430"/>
      <c r="Q123" s="128"/>
    </row>
    <row r="124" spans="1:17" x14ac:dyDescent="0.2">
      <c r="A124" s="403" t="s">
        <v>31</v>
      </c>
      <c r="B124" s="207"/>
      <c r="C124" s="425" t="s">
        <v>136</v>
      </c>
      <c r="D124" s="414" t="s">
        <v>56</v>
      </c>
      <c r="E124" s="148" t="s">
        <v>74</v>
      </c>
      <c r="F124" s="148" t="s">
        <v>75</v>
      </c>
      <c r="G124" s="257" t="s">
        <v>77</v>
      </c>
      <c r="H124" s="151">
        <v>3</v>
      </c>
      <c r="I124" s="42" t="s">
        <v>258</v>
      </c>
      <c r="J124" s="148" t="s">
        <v>80</v>
      </c>
      <c r="K124" s="263">
        <v>60000</v>
      </c>
      <c r="L124" s="263"/>
      <c r="M124" s="263"/>
      <c r="N124" s="263"/>
      <c r="O124" s="263"/>
      <c r="P124" s="263">
        <f>SUM(K124:N124)</f>
        <v>60000</v>
      </c>
      <c r="Q124" s="394" t="s">
        <v>105</v>
      </c>
    </row>
    <row r="125" spans="1:17" ht="141.75" customHeight="1" x14ac:dyDescent="0.2">
      <c r="A125" s="404"/>
      <c r="B125" s="210"/>
      <c r="C125" s="426"/>
      <c r="D125" s="415"/>
      <c r="E125" s="148" t="s">
        <v>74</v>
      </c>
      <c r="F125" s="148" t="s">
        <v>27</v>
      </c>
      <c r="G125" s="257" t="s">
        <v>77</v>
      </c>
      <c r="H125" s="151">
        <v>3</v>
      </c>
      <c r="I125" s="42" t="s">
        <v>258</v>
      </c>
      <c r="J125" s="148" t="s">
        <v>80</v>
      </c>
      <c r="K125" s="263">
        <f>90000+60000-50000</f>
        <v>100000</v>
      </c>
      <c r="L125" s="263">
        <f>400000+37559</f>
        <v>437559</v>
      </c>
      <c r="M125" s="263"/>
      <c r="N125" s="263"/>
      <c r="O125" s="263"/>
      <c r="P125" s="263">
        <f>SUM(K125:N125)</f>
        <v>537559</v>
      </c>
      <c r="Q125" s="395"/>
    </row>
    <row r="126" spans="1:17" ht="189" x14ac:dyDescent="0.2">
      <c r="A126" s="114" t="s">
        <v>39</v>
      </c>
      <c r="B126" s="114"/>
      <c r="C126" s="259" t="s">
        <v>61</v>
      </c>
      <c r="D126" s="222" t="s">
        <v>56</v>
      </c>
      <c r="E126" s="148"/>
      <c r="F126" s="148"/>
      <c r="G126" s="257"/>
      <c r="H126" s="151"/>
      <c r="I126" s="149"/>
      <c r="J126" s="148"/>
      <c r="K126" s="263"/>
      <c r="L126" s="263"/>
      <c r="M126" s="263"/>
      <c r="N126" s="263"/>
      <c r="O126" s="263"/>
      <c r="P126" s="263">
        <f t="shared" ref="P126:P136" si="26">SUM(K126:M126)</f>
        <v>0</v>
      </c>
      <c r="Q126" s="234" t="s">
        <v>90</v>
      </c>
    </row>
    <row r="127" spans="1:17" ht="94.5" x14ac:dyDescent="0.2">
      <c r="A127" s="114" t="s">
        <v>40</v>
      </c>
      <c r="B127" s="114"/>
      <c r="C127" s="259" t="s">
        <v>62</v>
      </c>
      <c r="D127" s="222" t="s">
        <v>56</v>
      </c>
      <c r="E127" s="148"/>
      <c r="F127" s="148"/>
      <c r="G127" s="257"/>
      <c r="H127" s="151"/>
      <c r="I127" s="149"/>
      <c r="J127" s="148"/>
      <c r="K127" s="263"/>
      <c r="L127" s="263"/>
      <c r="M127" s="263"/>
      <c r="N127" s="263"/>
      <c r="O127" s="263"/>
      <c r="P127" s="263">
        <f t="shared" si="26"/>
        <v>0</v>
      </c>
      <c r="Q127" s="228"/>
    </row>
    <row r="128" spans="1:17" ht="33.75" customHeight="1" x14ac:dyDescent="0.2">
      <c r="A128" s="403" t="s">
        <v>41</v>
      </c>
      <c r="B128" s="403"/>
      <c r="C128" s="431" t="s">
        <v>137</v>
      </c>
      <c r="D128" s="222" t="s">
        <v>56</v>
      </c>
      <c r="E128" s="148" t="s">
        <v>74</v>
      </c>
      <c r="F128" s="148" t="s">
        <v>27</v>
      </c>
      <c r="G128" s="257" t="s">
        <v>77</v>
      </c>
      <c r="H128" s="151">
        <v>3</v>
      </c>
      <c r="I128" s="42" t="s">
        <v>259</v>
      </c>
      <c r="J128" s="148" t="s">
        <v>28</v>
      </c>
      <c r="K128" s="276">
        <f>200000+20000+58031.49</f>
        <v>278031.49</v>
      </c>
      <c r="L128" s="277"/>
      <c r="M128" s="263">
        <v>0</v>
      </c>
      <c r="N128" s="263">
        <v>0</v>
      </c>
      <c r="O128" s="263"/>
      <c r="P128" s="276">
        <f t="shared" ref="P128:P135" si="27">SUM(K128:N128)</f>
        <v>278031.49</v>
      </c>
      <c r="Q128" s="228" t="s">
        <v>138</v>
      </c>
    </row>
    <row r="129" spans="1:17" ht="33.75" customHeight="1" x14ac:dyDescent="0.2">
      <c r="A129" s="404"/>
      <c r="B129" s="404"/>
      <c r="C129" s="432"/>
      <c r="D129" s="222" t="s">
        <v>56</v>
      </c>
      <c r="E129" s="148" t="s">
        <v>74</v>
      </c>
      <c r="F129" s="148" t="s">
        <v>75</v>
      </c>
      <c r="G129" s="257" t="s">
        <v>77</v>
      </c>
      <c r="H129" s="151">
        <v>3</v>
      </c>
      <c r="I129" s="42" t="s">
        <v>259</v>
      </c>
      <c r="J129" s="148" t="s">
        <v>80</v>
      </c>
      <c r="K129" s="276"/>
      <c r="L129" s="263">
        <v>300000</v>
      </c>
      <c r="M129" s="263">
        <v>0</v>
      </c>
      <c r="N129" s="263">
        <v>0</v>
      </c>
      <c r="O129" s="263"/>
      <c r="P129" s="276">
        <f t="shared" si="27"/>
        <v>300000</v>
      </c>
      <c r="Q129" s="235" t="s">
        <v>108</v>
      </c>
    </row>
    <row r="130" spans="1:17" ht="34.5" customHeight="1" x14ac:dyDescent="0.2">
      <c r="A130" s="404"/>
      <c r="B130" s="404"/>
      <c r="C130" s="432"/>
      <c r="D130" s="222" t="s">
        <v>56</v>
      </c>
      <c r="E130" s="148" t="s">
        <v>74</v>
      </c>
      <c r="F130" s="148" t="s">
        <v>27</v>
      </c>
      <c r="G130" s="257" t="s">
        <v>77</v>
      </c>
      <c r="H130" s="151">
        <v>3</v>
      </c>
      <c r="I130" s="42" t="s">
        <v>259</v>
      </c>
      <c r="J130" s="148" t="s">
        <v>80</v>
      </c>
      <c r="K130" s="276">
        <f>700000+300000+163915.45+50000</f>
        <v>1213915.45</v>
      </c>
      <c r="L130" s="278">
        <f>329682.99+1000000+133252.22</f>
        <v>1462935.21</v>
      </c>
      <c r="M130" s="263"/>
      <c r="N130" s="263"/>
      <c r="O130" s="263"/>
      <c r="P130" s="276">
        <f t="shared" si="27"/>
        <v>2676850.66</v>
      </c>
      <c r="Q130" s="235" t="s">
        <v>108</v>
      </c>
    </row>
    <row r="131" spans="1:17" s="194" customFormat="1" ht="34.5" customHeight="1" x14ac:dyDescent="0.2">
      <c r="A131" s="404"/>
      <c r="B131" s="404"/>
      <c r="C131" s="432"/>
      <c r="D131" s="222" t="s">
        <v>56</v>
      </c>
      <c r="E131" s="148" t="s">
        <v>74</v>
      </c>
      <c r="F131" s="148" t="s">
        <v>27</v>
      </c>
      <c r="G131" s="257" t="s">
        <v>77</v>
      </c>
      <c r="H131" s="151">
        <v>3</v>
      </c>
      <c r="I131" s="42" t="s">
        <v>259</v>
      </c>
      <c r="J131" s="148" t="s">
        <v>179</v>
      </c>
      <c r="K131" s="276"/>
      <c r="L131" s="278">
        <v>57251.54</v>
      </c>
      <c r="M131" s="263"/>
      <c r="N131" s="263"/>
      <c r="O131" s="263"/>
      <c r="P131" s="276">
        <f>L131</f>
        <v>57251.54</v>
      </c>
      <c r="Q131" s="235" t="s">
        <v>108</v>
      </c>
    </row>
    <row r="132" spans="1:17" s="194" customFormat="1" ht="34.5" customHeight="1" x14ac:dyDescent="0.2">
      <c r="A132" s="404"/>
      <c r="B132" s="404"/>
      <c r="C132" s="433"/>
      <c r="D132" s="222" t="s">
        <v>56</v>
      </c>
      <c r="E132" s="148" t="s">
        <v>74</v>
      </c>
      <c r="F132" s="148" t="s">
        <v>27</v>
      </c>
      <c r="G132" s="257" t="s">
        <v>77</v>
      </c>
      <c r="H132" s="151">
        <v>3</v>
      </c>
      <c r="I132" s="42" t="s">
        <v>259</v>
      </c>
      <c r="J132" s="148" t="s">
        <v>28</v>
      </c>
      <c r="K132" s="276"/>
      <c r="L132" s="278">
        <v>46000</v>
      </c>
      <c r="M132" s="263"/>
      <c r="N132" s="263"/>
      <c r="O132" s="263"/>
      <c r="P132" s="276">
        <f>L132</f>
        <v>46000</v>
      </c>
      <c r="Q132" s="235" t="s">
        <v>108</v>
      </c>
    </row>
    <row r="133" spans="1:17" ht="157.5" x14ac:dyDescent="0.2">
      <c r="A133" s="114" t="s">
        <v>64</v>
      </c>
      <c r="B133" s="114"/>
      <c r="C133" s="259" t="s">
        <v>136</v>
      </c>
      <c r="D133" s="222" t="s">
        <v>56</v>
      </c>
      <c r="E133" s="148" t="s">
        <v>74</v>
      </c>
      <c r="F133" s="148" t="s">
        <v>27</v>
      </c>
      <c r="G133" s="257" t="s">
        <v>77</v>
      </c>
      <c r="H133" s="151">
        <v>3</v>
      </c>
      <c r="I133" s="42" t="s">
        <v>258</v>
      </c>
      <c r="J133" s="148" t="s">
        <v>28</v>
      </c>
      <c r="K133" s="263">
        <v>150000</v>
      </c>
      <c r="L133" s="263"/>
      <c r="M133" s="263"/>
      <c r="N133" s="263"/>
      <c r="O133" s="263"/>
      <c r="P133" s="279">
        <f t="shared" si="27"/>
        <v>150000</v>
      </c>
      <c r="Q133" s="234" t="s">
        <v>110</v>
      </c>
    </row>
    <row r="134" spans="1:17" ht="68.25" customHeight="1" x14ac:dyDescent="0.2">
      <c r="A134" s="114" t="s">
        <v>42</v>
      </c>
      <c r="B134" s="114"/>
      <c r="C134" s="259" t="s">
        <v>118</v>
      </c>
      <c r="D134" s="222" t="s">
        <v>56</v>
      </c>
      <c r="E134" s="148" t="s">
        <v>74</v>
      </c>
      <c r="F134" s="148" t="s">
        <v>27</v>
      </c>
      <c r="G134" s="257" t="s">
        <v>77</v>
      </c>
      <c r="H134" s="151">
        <v>3</v>
      </c>
      <c r="I134" s="149" t="s">
        <v>280</v>
      </c>
      <c r="J134" s="148" t="s">
        <v>80</v>
      </c>
      <c r="K134" s="263">
        <v>90000</v>
      </c>
      <c r="L134" s="263"/>
      <c r="M134" s="263"/>
      <c r="N134" s="263"/>
      <c r="O134" s="263"/>
      <c r="P134" s="279">
        <f t="shared" si="27"/>
        <v>90000</v>
      </c>
      <c r="Q134" s="228" t="s">
        <v>109</v>
      </c>
    </row>
    <row r="135" spans="1:17" ht="173.25" x14ac:dyDescent="0.2">
      <c r="A135" s="114" t="s">
        <v>69</v>
      </c>
      <c r="B135" s="114"/>
      <c r="C135" s="259" t="s">
        <v>65</v>
      </c>
      <c r="D135" s="222" t="s">
        <v>56</v>
      </c>
      <c r="E135" s="148" t="s">
        <v>74</v>
      </c>
      <c r="F135" s="148" t="s">
        <v>27</v>
      </c>
      <c r="G135" s="257" t="s">
        <v>77</v>
      </c>
      <c r="H135" s="151">
        <v>3</v>
      </c>
      <c r="I135" s="149" t="s">
        <v>281</v>
      </c>
      <c r="J135" s="148" t="s">
        <v>80</v>
      </c>
      <c r="K135" s="263">
        <f>100000</f>
        <v>100000</v>
      </c>
      <c r="L135" s="263"/>
      <c r="M135" s="263"/>
      <c r="N135" s="263"/>
      <c r="O135" s="263"/>
      <c r="P135" s="279">
        <f t="shared" si="27"/>
        <v>100000</v>
      </c>
      <c r="Q135" s="228" t="s">
        <v>91</v>
      </c>
    </row>
    <row r="136" spans="1:17" ht="173.25" x14ac:dyDescent="0.2">
      <c r="A136" s="114" t="s">
        <v>70</v>
      </c>
      <c r="B136" s="207"/>
      <c r="C136" s="273" t="s">
        <v>63</v>
      </c>
      <c r="D136" s="222"/>
      <c r="E136" s="148"/>
      <c r="F136" s="148"/>
      <c r="G136" s="257"/>
      <c r="H136" s="151"/>
      <c r="I136" s="149"/>
      <c r="J136" s="148"/>
      <c r="K136" s="263"/>
      <c r="L136" s="263"/>
      <c r="M136" s="263"/>
      <c r="N136" s="263"/>
      <c r="O136" s="263"/>
      <c r="P136" s="279">
        <f t="shared" si="26"/>
        <v>0</v>
      </c>
      <c r="Q136" s="228" t="s">
        <v>95</v>
      </c>
    </row>
    <row r="137" spans="1:17" ht="204.75" customHeight="1" x14ac:dyDescent="0.2">
      <c r="A137" s="114" t="s">
        <v>150</v>
      </c>
      <c r="B137" s="114"/>
      <c r="C137" s="259" t="s">
        <v>151</v>
      </c>
      <c r="D137" s="222" t="s">
        <v>56</v>
      </c>
      <c r="E137" s="148" t="s">
        <v>74</v>
      </c>
      <c r="F137" s="148" t="s">
        <v>27</v>
      </c>
      <c r="G137" s="257" t="s">
        <v>77</v>
      </c>
      <c r="H137" s="151">
        <v>3</v>
      </c>
      <c r="I137" s="149" t="s">
        <v>282</v>
      </c>
      <c r="J137" s="148" t="s">
        <v>28</v>
      </c>
      <c r="K137" s="263">
        <f>400000</f>
        <v>400000</v>
      </c>
      <c r="L137" s="263"/>
      <c r="M137" s="263"/>
      <c r="N137" s="263"/>
      <c r="O137" s="263"/>
      <c r="P137" s="279">
        <f>SUM(K137:N137)</f>
        <v>400000</v>
      </c>
      <c r="Q137" s="228"/>
    </row>
    <row r="138" spans="1:17" s="303" customFormat="1" ht="204.75" customHeight="1" x14ac:dyDescent="0.2">
      <c r="A138" s="114" t="s">
        <v>240</v>
      </c>
      <c r="B138" s="114"/>
      <c r="C138" s="306" t="s">
        <v>243</v>
      </c>
      <c r="D138" s="3" t="s">
        <v>56</v>
      </c>
      <c r="E138" s="304" t="s">
        <v>74</v>
      </c>
      <c r="F138" s="304" t="s">
        <v>27</v>
      </c>
      <c r="G138" s="29" t="s">
        <v>77</v>
      </c>
      <c r="H138" s="305">
        <v>3</v>
      </c>
      <c r="I138" s="30" t="s">
        <v>283</v>
      </c>
      <c r="J138" s="304" t="s">
        <v>28</v>
      </c>
      <c r="K138" s="263"/>
      <c r="L138" s="242">
        <f>235833.42+155637.83</f>
        <v>391471.25</v>
      </c>
      <c r="M138" s="263"/>
      <c r="N138" s="263"/>
      <c r="O138" s="263"/>
      <c r="P138" s="279">
        <f>SUM(K138:N138)</f>
        <v>391471.25</v>
      </c>
      <c r="Q138" s="228"/>
    </row>
    <row r="139" spans="1:17" s="303" customFormat="1" ht="204.75" customHeight="1" x14ac:dyDescent="0.2">
      <c r="A139" s="114" t="s">
        <v>242</v>
      </c>
      <c r="B139" s="114"/>
      <c r="C139" s="306" t="s">
        <v>243</v>
      </c>
      <c r="D139" s="3" t="s">
        <v>56</v>
      </c>
      <c r="E139" s="304" t="s">
        <v>74</v>
      </c>
      <c r="F139" s="304" t="s">
        <v>27</v>
      </c>
      <c r="G139" s="29" t="s">
        <v>77</v>
      </c>
      <c r="H139" s="305">
        <v>3</v>
      </c>
      <c r="I139" s="30" t="s">
        <v>283</v>
      </c>
      <c r="J139" s="304" t="s">
        <v>179</v>
      </c>
      <c r="K139" s="263"/>
      <c r="L139" s="11">
        <v>62503.7</v>
      </c>
      <c r="M139" s="263"/>
      <c r="N139" s="263"/>
      <c r="O139" s="263"/>
      <c r="P139" s="279">
        <f t="shared" ref="P139:P140" si="28">SUM(K139:N139)</f>
        <v>62503.7</v>
      </c>
      <c r="Q139" s="228"/>
    </row>
    <row r="140" spans="1:17" s="303" customFormat="1" ht="204.75" customHeight="1" x14ac:dyDescent="0.2">
      <c r="A140" s="114" t="s">
        <v>241</v>
      </c>
      <c r="B140" s="114"/>
      <c r="C140" s="306" t="s">
        <v>243</v>
      </c>
      <c r="D140" s="3" t="s">
        <v>56</v>
      </c>
      <c r="E140" s="304" t="s">
        <v>74</v>
      </c>
      <c r="F140" s="304" t="s">
        <v>27</v>
      </c>
      <c r="G140" s="29" t="s">
        <v>77</v>
      </c>
      <c r="H140" s="305">
        <v>3</v>
      </c>
      <c r="I140" s="30" t="s">
        <v>283</v>
      </c>
      <c r="J140" s="304" t="s">
        <v>80</v>
      </c>
      <c r="K140" s="263"/>
      <c r="L140" s="242">
        <f>43597.2+115370.63</f>
        <v>158967.83000000002</v>
      </c>
      <c r="M140" s="263"/>
      <c r="N140" s="263"/>
      <c r="O140" s="263"/>
      <c r="P140" s="279">
        <f t="shared" si="28"/>
        <v>158967.83000000002</v>
      </c>
      <c r="Q140" s="228"/>
    </row>
    <row r="141" spans="1:17" x14ac:dyDescent="0.2">
      <c r="A141" s="114"/>
      <c r="B141" s="114"/>
      <c r="C141" s="259" t="s">
        <v>23</v>
      </c>
      <c r="D141" s="222"/>
      <c r="E141" s="259"/>
      <c r="F141" s="259"/>
      <c r="G141" s="257"/>
      <c r="H141" s="151"/>
      <c r="I141" s="256"/>
      <c r="J141" s="259"/>
      <c r="K141" s="279">
        <f>SUM(K124:K137)</f>
        <v>2391946.94</v>
      </c>
      <c r="L141" s="279">
        <f>SUM(L124:L140)</f>
        <v>2916688.5300000003</v>
      </c>
      <c r="M141" s="279">
        <f>SUM(M124:M136)</f>
        <v>0</v>
      </c>
      <c r="N141" s="279">
        <f>SUM(N124:N136)</f>
        <v>0</v>
      </c>
      <c r="O141" s="279"/>
      <c r="P141" s="279">
        <f>SUM(P124:P140)</f>
        <v>5308635.4700000007</v>
      </c>
      <c r="Q141" s="128"/>
    </row>
    <row r="142" spans="1:17" ht="15.75" customHeight="1" x14ac:dyDescent="0.2">
      <c r="A142" s="208" t="s">
        <v>67</v>
      </c>
      <c r="B142" s="236"/>
      <c r="C142" s="428" t="s">
        <v>235</v>
      </c>
      <c r="D142" s="429"/>
      <c r="E142" s="429"/>
      <c r="F142" s="429"/>
      <c r="G142" s="429"/>
      <c r="H142" s="429"/>
      <c r="I142" s="429"/>
      <c r="J142" s="429"/>
      <c r="K142" s="429"/>
      <c r="L142" s="429"/>
      <c r="M142" s="429"/>
      <c r="N142" s="429"/>
      <c r="O142" s="429"/>
      <c r="P142" s="430"/>
      <c r="Q142" s="209"/>
    </row>
    <row r="143" spans="1:17" x14ac:dyDescent="0.2">
      <c r="A143" s="237" t="s">
        <v>43</v>
      </c>
      <c r="B143" s="237"/>
      <c r="C143" s="425" t="s">
        <v>66</v>
      </c>
      <c r="D143" s="249" t="s">
        <v>56</v>
      </c>
      <c r="E143" s="148" t="s">
        <v>74</v>
      </c>
      <c r="F143" s="148" t="s">
        <v>26</v>
      </c>
      <c r="G143" s="257" t="s">
        <v>77</v>
      </c>
      <c r="H143" s="151">
        <v>3</v>
      </c>
      <c r="I143" s="42" t="s">
        <v>257</v>
      </c>
      <c r="J143" s="148" t="s">
        <v>45</v>
      </c>
      <c r="K143" s="280">
        <v>630921.29</v>
      </c>
      <c r="L143" s="280">
        <v>851638.78</v>
      </c>
      <c r="M143" s="280">
        <v>851127.22</v>
      </c>
      <c r="N143" s="280">
        <v>851127.22</v>
      </c>
      <c r="O143" s="280">
        <v>851127.22</v>
      </c>
      <c r="P143" s="280">
        <f>SUM(K143:O143)</f>
        <v>4035941.7299999995</v>
      </c>
      <c r="Q143" s="394"/>
    </row>
    <row r="144" spans="1:17" s="346" customFormat="1" x14ac:dyDescent="0.2">
      <c r="A144" s="239"/>
      <c r="B144" s="239"/>
      <c r="C144" s="426"/>
      <c r="D144" s="347" t="s">
        <v>56</v>
      </c>
      <c r="E144" s="344" t="s">
        <v>74</v>
      </c>
      <c r="F144" s="344" t="s">
        <v>26</v>
      </c>
      <c r="G144" s="29" t="s">
        <v>77</v>
      </c>
      <c r="H144" s="345">
        <v>3</v>
      </c>
      <c r="I144" s="333" t="s">
        <v>289</v>
      </c>
      <c r="J144" s="344" t="s">
        <v>45</v>
      </c>
      <c r="K144" s="201">
        <v>192955</v>
      </c>
      <c r="L144" s="83">
        <v>279508.87</v>
      </c>
      <c r="M144" s="83">
        <v>258552.31</v>
      </c>
      <c r="N144" s="83">
        <v>258552.31</v>
      </c>
      <c r="O144" s="83">
        <v>258552.31</v>
      </c>
      <c r="P144" s="83">
        <f>SUM(K144:O144)</f>
        <v>1248120.8</v>
      </c>
      <c r="Q144" s="395"/>
    </row>
    <row r="145" spans="1:18" s="321" customFormat="1" x14ac:dyDescent="0.2">
      <c r="A145" s="239"/>
      <c r="B145" s="239"/>
      <c r="C145" s="426"/>
      <c r="D145" s="322" t="s">
        <v>56</v>
      </c>
      <c r="E145" s="148" t="s">
        <v>74</v>
      </c>
      <c r="F145" s="149" t="s">
        <v>26</v>
      </c>
      <c r="G145" s="150" t="s">
        <v>77</v>
      </c>
      <c r="H145" s="151">
        <v>3</v>
      </c>
      <c r="I145" s="42" t="s">
        <v>257</v>
      </c>
      <c r="J145" s="148" t="s">
        <v>285</v>
      </c>
      <c r="K145" s="280">
        <v>190538.23</v>
      </c>
      <c r="L145" s="280">
        <v>257164.71</v>
      </c>
      <c r="M145" s="280">
        <v>257040.42</v>
      </c>
      <c r="N145" s="280">
        <v>257040.42</v>
      </c>
      <c r="O145" s="280">
        <v>257040.42</v>
      </c>
      <c r="P145" s="280">
        <f>SUM(K145:O145)</f>
        <v>1218824.2</v>
      </c>
      <c r="Q145" s="395"/>
    </row>
    <row r="146" spans="1:18" s="346" customFormat="1" x14ac:dyDescent="0.2">
      <c r="A146" s="239"/>
      <c r="B146" s="239"/>
      <c r="C146" s="426"/>
      <c r="D146" s="347" t="s">
        <v>56</v>
      </c>
      <c r="E146" s="344" t="s">
        <v>74</v>
      </c>
      <c r="F146" s="30" t="s">
        <v>26</v>
      </c>
      <c r="G146" s="72" t="s">
        <v>77</v>
      </c>
      <c r="H146" s="345">
        <v>3</v>
      </c>
      <c r="I146" s="333" t="s">
        <v>289</v>
      </c>
      <c r="J146" s="344" t="s">
        <v>285</v>
      </c>
      <c r="K146" s="201">
        <v>58272.41</v>
      </c>
      <c r="L146" s="83">
        <v>84411.69</v>
      </c>
      <c r="M146" s="83">
        <v>78082.8</v>
      </c>
      <c r="N146" s="83">
        <v>78082.8</v>
      </c>
      <c r="O146" s="83">
        <v>78082.8</v>
      </c>
      <c r="P146" s="83">
        <f>SUM(K146:O146)</f>
        <v>376932.5</v>
      </c>
      <c r="Q146" s="395"/>
    </row>
    <row r="147" spans="1:18" ht="24" customHeight="1" x14ac:dyDescent="0.2">
      <c r="A147" s="239"/>
      <c r="B147" s="239"/>
      <c r="C147" s="426"/>
      <c r="D147" s="249" t="s">
        <v>56</v>
      </c>
      <c r="E147" s="148" t="s">
        <v>74</v>
      </c>
      <c r="F147" s="149" t="s">
        <v>26</v>
      </c>
      <c r="G147" s="150" t="s">
        <v>77</v>
      </c>
      <c r="H147" s="151">
        <v>3</v>
      </c>
      <c r="I147" s="42" t="s">
        <v>257</v>
      </c>
      <c r="J147" s="148" t="s">
        <v>126</v>
      </c>
      <c r="K147" s="280">
        <f>7200-3200</f>
        <v>4000</v>
      </c>
      <c r="L147" s="280">
        <v>2484.59</v>
      </c>
      <c r="M147" s="280">
        <f>780+23583+574.6</f>
        <v>24937.599999999999</v>
      </c>
      <c r="N147" s="280">
        <v>780</v>
      </c>
      <c r="O147" s="280">
        <v>780</v>
      </c>
      <c r="P147" s="280">
        <f t="shared" ref="P147:P151" si="29">SUM(K147:O147)</f>
        <v>32982.19</v>
      </c>
      <c r="Q147" s="395"/>
      <c r="R147" s="23" t="s">
        <v>194</v>
      </c>
    </row>
    <row r="148" spans="1:18" x14ac:dyDescent="0.2">
      <c r="A148" s="239"/>
      <c r="B148" s="239"/>
      <c r="C148" s="426"/>
      <c r="D148" s="249" t="s">
        <v>56</v>
      </c>
      <c r="E148" s="148" t="s">
        <v>74</v>
      </c>
      <c r="F148" s="149" t="s">
        <v>26</v>
      </c>
      <c r="G148" s="150" t="s">
        <v>77</v>
      </c>
      <c r="H148" s="151">
        <v>3</v>
      </c>
      <c r="I148" s="42" t="s">
        <v>257</v>
      </c>
      <c r="J148" s="149" t="s">
        <v>28</v>
      </c>
      <c r="K148" s="280">
        <f>290346.4+3200-58031.49</f>
        <v>235514.91000000003</v>
      </c>
      <c r="L148" s="280">
        <f>354416.44</f>
        <v>354416.44</v>
      </c>
      <c r="M148" s="280">
        <f>347279.03-23583-574.6</f>
        <v>323121.43000000005</v>
      </c>
      <c r="N148" s="280">
        <f t="shared" ref="N148:O148" si="30">347279.03</f>
        <v>347279.03</v>
      </c>
      <c r="O148" s="280">
        <f t="shared" si="30"/>
        <v>347279.03</v>
      </c>
      <c r="P148" s="280">
        <f t="shared" si="29"/>
        <v>1607610.84</v>
      </c>
      <c r="Q148" s="396"/>
    </row>
    <row r="149" spans="1:18" x14ac:dyDescent="0.2">
      <c r="A149" s="239"/>
      <c r="B149" s="239"/>
      <c r="C149" s="426"/>
      <c r="D149" s="249" t="s">
        <v>56</v>
      </c>
      <c r="E149" s="148" t="s">
        <v>74</v>
      </c>
      <c r="F149" s="149" t="s">
        <v>26</v>
      </c>
      <c r="G149" s="150" t="s">
        <v>77</v>
      </c>
      <c r="H149" s="151">
        <v>3</v>
      </c>
      <c r="I149" s="42" t="s">
        <v>257</v>
      </c>
      <c r="J149" s="149" t="s">
        <v>127</v>
      </c>
      <c r="K149" s="280">
        <v>4500</v>
      </c>
      <c r="L149" s="280">
        <f>878.56+1000</f>
        <v>1878.56</v>
      </c>
      <c r="M149" s="280">
        <v>1000</v>
      </c>
      <c r="N149" s="280">
        <v>1000</v>
      </c>
      <c r="O149" s="280">
        <v>1000</v>
      </c>
      <c r="P149" s="280">
        <f t="shared" si="29"/>
        <v>9378.56</v>
      </c>
      <c r="Q149" s="227"/>
    </row>
    <row r="150" spans="1:18" x14ac:dyDescent="0.2">
      <c r="A150" s="240"/>
      <c r="B150" s="240"/>
      <c r="C150" s="427"/>
      <c r="D150" s="249" t="s">
        <v>56</v>
      </c>
      <c r="E150" s="148" t="s">
        <v>74</v>
      </c>
      <c r="F150" s="149" t="s">
        <v>26</v>
      </c>
      <c r="G150" s="150" t="s">
        <v>77</v>
      </c>
      <c r="H150" s="151">
        <v>3</v>
      </c>
      <c r="I150" s="149" t="s">
        <v>283</v>
      </c>
      <c r="J150" s="148" t="s">
        <v>126</v>
      </c>
      <c r="K150" s="280"/>
      <c r="L150" s="280">
        <v>10416</v>
      </c>
      <c r="M150" s="280">
        <v>0</v>
      </c>
      <c r="N150" s="280">
        <v>0</v>
      </c>
      <c r="O150" s="280">
        <v>0</v>
      </c>
      <c r="P150" s="280">
        <f t="shared" si="29"/>
        <v>10416</v>
      </c>
      <c r="Q150" s="227"/>
    </row>
    <row r="151" spans="1:18" ht="15.75" customHeight="1" x14ac:dyDescent="0.2">
      <c r="A151" s="114"/>
      <c r="B151" s="114"/>
      <c r="C151" s="215" t="s">
        <v>44</v>
      </c>
      <c r="D151" s="128"/>
      <c r="E151" s="215"/>
      <c r="F151" s="215"/>
      <c r="G151" s="118"/>
      <c r="H151" s="119"/>
      <c r="I151" s="223"/>
      <c r="J151" s="215"/>
      <c r="K151" s="238">
        <f>SUM(K143:K150)</f>
        <v>1316701.8399999999</v>
      </c>
      <c r="L151" s="238">
        <f>SUM(L143:L150)</f>
        <v>1841919.64</v>
      </c>
      <c r="M151" s="238">
        <f>SUM(M143:M150)</f>
        <v>1793861.7800000003</v>
      </c>
      <c r="N151" s="238">
        <f>SUM(N143:N150)</f>
        <v>1793861.78</v>
      </c>
      <c r="O151" s="238">
        <f>SUM(O143:O150)</f>
        <v>1793861.78</v>
      </c>
      <c r="P151" s="280">
        <f t="shared" si="29"/>
        <v>8540206.8200000003</v>
      </c>
      <c r="Q151" s="128"/>
    </row>
  </sheetData>
  <mergeCells count="79">
    <mergeCell ref="C23:C24"/>
    <mergeCell ref="Q53:Q55"/>
    <mergeCell ref="C39:P39"/>
    <mergeCell ref="C68:P68"/>
    <mergeCell ref="A40:A42"/>
    <mergeCell ref="Q40:Q42"/>
    <mergeCell ref="C51:P51"/>
    <mergeCell ref="A52:A57"/>
    <mergeCell ref="A115:A116"/>
    <mergeCell ref="C115:C116"/>
    <mergeCell ref="Q115:Q116"/>
    <mergeCell ref="C72:C75"/>
    <mergeCell ref="B76:B78"/>
    <mergeCell ref="C76:C78"/>
    <mergeCell ref="A99:A103"/>
    <mergeCell ref="A93:A97"/>
    <mergeCell ref="B93:B97"/>
    <mergeCell ref="A72:A75"/>
    <mergeCell ref="A76:A78"/>
    <mergeCell ref="A90:A91"/>
    <mergeCell ref="A117:A118"/>
    <mergeCell ref="C117:C118"/>
    <mergeCell ref="B7:B11"/>
    <mergeCell ref="C111:P111"/>
    <mergeCell ref="C114:P114"/>
    <mergeCell ref="C17:P17"/>
    <mergeCell ref="A18:A25"/>
    <mergeCell ref="C18:C22"/>
    <mergeCell ref="A7:A11"/>
    <mergeCell ref="C7:C11"/>
    <mergeCell ref="A12:A16"/>
    <mergeCell ref="B12:B16"/>
    <mergeCell ref="A81:A89"/>
    <mergeCell ref="A69:A71"/>
    <mergeCell ref="C69:C71"/>
    <mergeCell ref="C80:P80"/>
    <mergeCell ref="Q117:Q118"/>
    <mergeCell ref="Q99:Q102"/>
    <mergeCell ref="Q81:Q89"/>
    <mergeCell ref="C98:P98"/>
    <mergeCell ref="C90:C91"/>
    <mergeCell ref="C93:C97"/>
    <mergeCell ref="C81:C89"/>
    <mergeCell ref="C143:C150"/>
    <mergeCell ref="Q143:Q148"/>
    <mergeCell ref="A119:A120"/>
    <mergeCell ref="B119:B120"/>
    <mergeCell ref="C119:C120"/>
    <mergeCell ref="D119:D120"/>
    <mergeCell ref="Q124:Q125"/>
    <mergeCell ref="C123:P123"/>
    <mergeCell ref="A124:A125"/>
    <mergeCell ref="C124:C125"/>
    <mergeCell ref="D124:D125"/>
    <mergeCell ref="B128:B132"/>
    <mergeCell ref="C128:C132"/>
    <mergeCell ref="A128:A132"/>
    <mergeCell ref="C142:P142"/>
    <mergeCell ref="Q69:Q71"/>
    <mergeCell ref="C65:C66"/>
    <mergeCell ref="F2:H2"/>
    <mergeCell ref="A3:P3"/>
    <mergeCell ref="K5:P5"/>
    <mergeCell ref="N2:Q2"/>
    <mergeCell ref="A58:A62"/>
    <mergeCell ref="Q58:Q60"/>
    <mergeCell ref="A46:A49"/>
    <mergeCell ref="B46:B50"/>
    <mergeCell ref="C46:C49"/>
    <mergeCell ref="C12:C16"/>
    <mergeCell ref="Q5:Q6"/>
    <mergeCell ref="A5:A6"/>
    <mergeCell ref="C5:C6"/>
    <mergeCell ref="Q18:Q25"/>
    <mergeCell ref="D5:D6"/>
    <mergeCell ref="E5:J5"/>
    <mergeCell ref="B5:B6"/>
    <mergeCell ref="G6:I6"/>
    <mergeCell ref="N1:Q1"/>
  </mergeCells>
  <pageMargins left="0" right="3.937007874015748E-2" top="0.31496062992125984" bottom="0.31496062992125984" header="0.59055118110236227" footer="0.59055118110236227"/>
  <pageSetup paperSize="9" scale="55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V30"/>
  <sheetViews>
    <sheetView view="pageBreakPreview" zoomScale="70" zoomScaleNormal="85" zoomScaleSheetLayoutView="70" workbookViewId="0">
      <selection activeCell="L1" sqref="L1:O1"/>
    </sheetView>
  </sheetViews>
  <sheetFormatPr defaultColWidth="9.140625" defaultRowHeight="15.75" outlineLevelCol="1" x14ac:dyDescent="0.25"/>
  <cols>
    <col min="1" max="1" width="18.42578125" style="14" customWidth="1"/>
    <col min="2" max="2" width="23.140625" style="14" customWidth="1"/>
    <col min="3" max="3" width="22.28515625" style="14" customWidth="1"/>
    <col min="4" max="4" width="0.140625" style="14" hidden="1" customWidth="1"/>
    <col min="5" max="5" width="7.140625" style="14" hidden="1" customWidth="1"/>
    <col min="6" max="6" width="3.28515625" style="14" hidden="1" customWidth="1"/>
    <col min="7" max="7" width="3" style="14" hidden="1" customWidth="1"/>
    <col min="8" max="8" width="5.85546875" style="14" hidden="1" customWidth="1"/>
    <col min="9" max="9" width="7.5703125" style="14" hidden="1" customWidth="1"/>
    <col min="10" max="10" width="18.28515625" style="14" bestFit="1" customWidth="1"/>
    <col min="11" max="11" width="18.140625" style="14" customWidth="1"/>
    <col min="12" max="13" width="18.42578125" style="14" customWidth="1"/>
    <col min="14" max="14" width="18.42578125" style="310" customWidth="1"/>
    <col min="15" max="15" width="19.28515625" style="14" customWidth="1"/>
    <col min="16" max="16" width="8.85546875" style="14" customWidth="1"/>
    <col min="17" max="17" width="16.28515625" style="14" hidden="1" customWidth="1" outlineLevel="1"/>
    <col min="18" max="19" width="16.140625" style="14" hidden="1" customWidth="1" outlineLevel="1"/>
    <col min="20" max="20" width="0" style="14" hidden="1" customWidth="1" outlineLevel="1"/>
    <col min="21" max="21" width="9.140625" style="14" collapsed="1"/>
    <col min="22" max="22" width="13.85546875" style="14" bestFit="1" customWidth="1"/>
    <col min="23" max="16384" width="9.140625" style="14"/>
  </cols>
  <sheetData>
    <row r="1" spans="1:22" ht="58.5" customHeight="1" x14ac:dyDescent="0.25">
      <c r="L1" s="446" t="s">
        <v>297</v>
      </c>
      <c r="M1" s="446"/>
      <c r="N1" s="446"/>
      <c r="O1" s="446"/>
    </row>
    <row r="2" spans="1:22" ht="82.5" customHeight="1" x14ac:dyDescent="0.3">
      <c r="L2" s="462" t="s">
        <v>172</v>
      </c>
      <c r="M2" s="462"/>
      <c r="N2" s="462"/>
      <c r="O2" s="462"/>
    </row>
    <row r="3" spans="1:22" ht="51" customHeight="1" x14ac:dyDescent="0.25">
      <c r="A3" s="465" t="s">
        <v>209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</row>
    <row r="4" spans="1:22" x14ac:dyDescent="0.25">
      <c r="F4" s="8">
        <v>8</v>
      </c>
      <c r="Q4" s="14">
        <f>3273967.4+28000</f>
        <v>3301967.4</v>
      </c>
      <c r="R4" s="14">
        <v>3307058.1</v>
      </c>
      <c r="S4" s="14">
        <v>2895283.8</v>
      </c>
    </row>
    <row r="5" spans="1:22" ht="34.5" customHeight="1" x14ac:dyDescent="0.25">
      <c r="A5" s="466" t="s">
        <v>206</v>
      </c>
      <c r="B5" s="466" t="s">
        <v>210</v>
      </c>
      <c r="C5" s="466" t="s">
        <v>293</v>
      </c>
      <c r="D5" s="466" t="s">
        <v>46</v>
      </c>
      <c r="E5" s="466"/>
      <c r="F5" s="466"/>
      <c r="G5" s="466"/>
      <c r="H5" s="466"/>
      <c r="I5" s="466"/>
      <c r="J5" s="466" t="s">
        <v>207</v>
      </c>
      <c r="K5" s="466"/>
      <c r="L5" s="466"/>
      <c r="M5" s="466"/>
      <c r="N5" s="466"/>
      <c r="O5" s="466"/>
      <c r="Q5" s="16">
        <f>J7</f>
        <v>65340733.626420006</v>
      </c>
      <c r="R5" s="16">
        <f>K7</f>
        <v>59975697.280000001</v>
      </c>
      <c r="S5" s="16">
        <f>L7</f>
        <v>56772129.109999992</v>
      </c>
    </row>
    <row r="6" spans="1:22" ht="62.25" customHeight="1" x14ac:dyDescent="0.25">
      <c r="A6" s="466"/>
      <c r="B6" s="466"/>
      <c r="C6" s="466"/>
      <c r="D6" s="15" t="s">
        <v>6</v>
      </c>
      <c r="E6" s="15" t="s">
        <v>7</v>
      </c>
      <c r="F6" s="448" t="s">
        <v>8</v>
      </c>
      <c r="G6" s="449"/>
      <c r="H6" s="450"/>
      <c r="I6" s="15" t="s">
        <v>9</v>
      </c>
      <c r="J6" s="15" t="s">
        <v>10</v>
      </c>
      <c r="K6" s="15" t="s">
        <v>11</v>
      </c>
      <c r="L6" s="15" t="s">
        <v>12</v>
      </c>
      <c r="M6" s="155" t="s">
        <v>160</v>
      </c>
      <c r="N6" s="309" t="s">
        <v>247</v>
      </c>
      <c r="O6" s="348" t="s">
        <v>290</v>
      </c>
      <c r="Q6" s="16">
        <f>Q4-Q5</f>
        <v>-62038766.226420008</v>
      </c>
      <c r="R6" s="16">
        <f>R4-R5</f>
        <v>-56668639.18</v>
      </c>
      <c r="S6" s="16">
        <f>S4-S5</f>
        <v>-53876845.309999995</v>
      </c>
    </row>
    <row r="7" spans="1:22" ht="47.25" x14ac:dyDescent="0.25">
      <c r="A7" s="457" t="s">
        <v>76</v>
      </c>
      <c r="B7" s="457" t="s">
        <v>182</v>
      </c>
      <c r="C7" s="248" t="s">
        <v>47</v>
      </c>
      <c r="D7" s="15" t="s">
        <v>48</v>
      </c>
      <c r="E7" s="15" t="s">
        <v>48</v>
      </c>
      <c r="F7" s="448" t="s">
        <v>48</v>
      </c>
      <c r="G7" s="449"/>
      <c r="H7" s="450"/>
      <c r="I7" s="15" t="s">
        <v>48</v>
      </c>
      <c r="J7" s="85">
        <f>J10+J9+J8</f>
        <v>65340733.626420006</v>
      </c>
      <c r="K7" s="85">
        <f>K10+K9+K8</f>
        <v>59975697.280000001</v>
      </c>
      <c r="L7" s="85">
        <f>L10+L9+L8</f>
        <v>56772129.109999992</v>
      </c>
      <c r="M7" s="85">
        <f t="shared" ref="M7" si="0">M10+M9+M8</f>
        <v>54739363.559999995</v>
      </c>
      <c r="N7" s="85">
        <f t="shared" ref="N7" si="1">N10+N9+N8</f>
        <v>54736863.559999995</v>
      </c>
      <c r="O7" s="78">
        <f>SUM(J7:N7)</f>
        <v>291564787.13642001</v>
      </c>
      <c r="V7" s="16"/>
    </row>
    <row r="8" spans="1:22" ht="34.5" customHeight="1" x14ac:dyDescent="0.25">
      <c r="A8" s="457"/>
      <c r="B8" s="457"/>
      <c r="C8" s="222" t="s">
        <v>195</v>
      </c>
      <c r="D8" s="19" t="s">
        <v>74</v>
      </c>
      <c r="E8" s="168" t="s">
        <v>48</v>
      </c>
      <c r="F8" s="448" t="s">
        <v>48</v>
      </c>
      <c r="G8" s="449"/>
      <c r="H8" s="450"/>
      <c r="I8" s="168" t="s">
        <v>48</v>
      </c>
      <c r="J8" s="85">
        <v>6181600</v>
      </c>
      <c r="K8" s="85">
        <v>3000</v>
      </c>
      <c r="L8" s="85">
        <f>L13+L18</f>
        <v>2200</v>
      </c>
      <c r="M8" s="85">
        <v>2500</v>
      </c>
      <c r="N8" s="85">
        <v>0</v>
      </c>
      <c r="O8" s="78">
        <f t="shared" ref="O8:O24" si="2">SUM(J8:N8)</f>
        <v>6189300</v>
      </c>
      <c r="V8" s="16"/>
    </row>
    <row r="9" spans="1:22" ht="31.5" x14ac:dyDescent="0.25">
      <c r="A9" s="457"/>
      <c r="B9" s="457"/>
      <c r="C9" s="222" t="s">
        <v>196</v>
      </c>
      <c r="D9" s="19"/>
      <c r="E9" s="168" t="s">
        <v>48</v>
      </c>
      <c r="F9" s="448" t="s">
        <v>48</v>
      </c>
      <c r="G9" s="449"/>
      <c r="H9" s="450"/>
      <c r="I9" s="168" t="s">
        <v>48</v>
      </c>
      <c r="J9" s="85">
        <f>J14++J19+J23</f>
        <v>4022906.0900000003</v>
      </c>
      <c r="K9" s="85">
        <f>K14+K23+K19</f>
        <v>3072008.16</v>
      </c>
      <c r="L9" s="85">
        <f>L14+L19+L23</f>
        <v>1397694.4400000002</v>
      </c>
      <c r="M9" s="85">
        <f>M16++M19+M23</f>
        <v>0</v>
      </c>
      <c r="N9" s="85">
        <f>N16++N19+N23</f>
        <v>0</v>
      </c>
      <c r="O9" s="78">
        <f t="shared" si="2"/>
        <v>8492608.6899999995</v>
      </c>
      <c r="V9" s="16"/>
    </row>
    <row r="10" spans="1:22" ht="40.5" customHeight="1" x14ac:dyDescent="0.25">
      <c r="A10" s="451"/>
      <c r="B10" s="451"/>
      <c r="C10" s="222" t="s">
        <v>197</v>
      </c>
      <c r="D10" s="19"/>
      <c r="E10" s="15" t="s">
        <v>48</v>
      </c>
      <c r="F10" s="448" t="s">
        <v>48</v>
      </c>
      <c r="G10" s="449"/>
      <c r="H10" s="450"/>
      <c r="I10" s="15" t="s">
        <v>48</v>
      </c>
      <c r="J10" s="85">
        <f>J15+J20+J24</f>
        <v>55136227.536420003</v>
      </c>
      <c r="K10" s="85">
        <f>K15+K20+K24</f>
        <v>56900689.119999997</v>
      </c>
      <c r="L10" s="85">
        <f>L15+L20+L24</f>
        <v>55372234.669999994</v>
      </c>
      <c r="M10" s="85">
        <f>M15+M20+M24</f>
        <v>54736863.559999995</v>
      </c>
      <c r="N10" s="85">
        <f>N15+N20+N24</f>
        <v>54736863.559999995</v>
      </c>
      <c r="O10" s="78">
        <f t="shared" si="2"/>
        <v>276882878.44641995</v>
      </c>
      <c r="Q10" s="16">
        <v>2809386.2</v>
      </c>
      <c r="R10" s="16">
        <v>2813055.3</v>
      </c>
      <c r="S10" s="16">
        <v>2810976</v>
      </c>
    </row>
    <row r="11" spans="1:22" ht="17.25" hidden="1" customHeight="1" x14ac:dyDescent="0.25">
      <c r="A11" s="458"/>
      <c r="B11" s="458"/>
      <c r="C11" s="248"/>
      <c r="D11" s="19"/>
      <c r="E11" s="164"/>
      <c r="F11" s="448"/>
      <c r="G11" s="449"/>
      <c r="H11" s="450"/>
      <c r="I11" s="164"/>
      <c r="J11" s="78"/>
      <c r="K11" s="78"/>
      <c r="L11" s="78"/>
      <c r="M11" s="78"/>
      <c r="N11" s="78"/>
      <c r="O11" s="78">
        <f t="shared" si="2"/>
        <v>0</v>
      </c>
      <c r="Q11" s="16"/>
      <c r="R11" s="16"/>
      <c r="S11" s="16"/>
    </row>
    <row r="12" spans="1:22" ht="47.25" x14ac:dyDescent="0.25">
      <c r="A12" s="451" t="s">
        <v>49</v>
      </c>
      <c r="B12" s="467" t="s">
        <v>145</v>
      </c>
      <c r="C12" s="248" t="s">
        <v>50</v>
      </c>
      <c r="D12" s="15"/>
      <c r="E12" s="15" t="s">
        <v>48</v>
      </c>
      <c r="F12" s="448" t="s">
        <v>48</v>
      </c>
      <c r="G12" s="449"/>
      <c r="H12" s="450"/>
      <c r="I12" s="15" t="s">
        <v>48</v>
      </c>
      <c r="J12" s="78">
        <f>J15+J14</f>
        <v>9957712.4564199988</v>
      </c>
      <c r="K12" s="78">
        <f>K15+K13+K14</f>
        <v>10484619.77</v>
      </c>
      <c r="L12" s="78">
        <f>L15+L13+L14</f>
        <v>9854919.2000000011</v>
      </c>
      <c r="M12" s="78">
        <f>M15+M13</f>
        <v>9743334.1699999999</v>
      </c>
      <c r="N12" s="78">
        <f>N15+N13</f>
        <v>9740834.1699999999</v>
      </c>
      <c r="O12" s="78">
        <f>SUM(J12:N12)</f>
        <v>49781419.766420007</v>
      </c>
    </row>
    <row r="13" spans="1:22" ht="39" customHeight="1" x14ac:dyDescent="0.25">
      <c r="A13" s="451"/>
      <c r="B13" s="467"/>
      <c r="C13" s="222" t="s">
        <v>195</v>
      </c>
      <c r="D13" s="19" t="s">
        <v>74</v>
      </c>
      <c r="E13" s="177" t="s">
        <v>48</v>
      </c>
      <c r="F13" s="448" t="s">
        <v>48</v>
      </c>
      <c r="G13" s="449"/>
      <c r="H13" s="450"/>
      <c r="I13" s="177" t="s">
        <v>48</v>
      </c>
      <c r="J13" s="85">
        <v>0</v>
      </c>
      <c r="K13" s="78">
        <f>'Прил 3'!K39</f>
        <v>3000</v>
      </c>
      <c r="L13" s="85">
        <f>2500-300</f>
        <v>2200</v>
      </c>
      <c r="M13" s="85">
        <v>2500</v>
      </c>
      <c r="N13" s="85">
        <v>0</v>
      </c>
      <c r="O13" s="78">
        <f t="shared" si="2"/>
        <v>7700</v>
      </c>
    </row>
    <row r="14" spans="1:22" ht="31.5" x14ac:dyDescent="0.25">
      <c r="A14" s="451"/>
      <c r="B14" s="467"/>
      <c r="C14" s="222" t="s">
        <v>196</v>
      </c>
      <c r="D14" s="168"/>
      <c r="E14" s="168"/>
      <c r="F14" s="169"/>
      <c r="G14" s="170"/>
      <c r="H14" s="171"/>
      <c r="I14" s="168"/>
      <c r="J14" s="78">
        <f>27800+276124-6800+17407.21</f>
        <v>314531.21000000002</v>
      </c>
      <c r="K14" s="78">
        <f>'Прил 3'!K40</f>
        <v>329979.43</v>
      </c>
      <c r="L14" s="78">
        <f>'Прил 2'!M15</f>
        <v>93425.03</v>
      </c>
      <c r="M14" s="78"/>
      <c r="N14" s="78">
        <v>0</v>
      </c>
      <c r="O14" s="78">
        <f>SUM(J14:N14)</f>
        <v>737935.67</v>
      </c>
    </row>
    <row r="15" spans="1:22" ht="31.5" x14ac:dyDescent="0.25">
      <c r="A15" s="451"/>
      <c r="B15" s="467"/>
      <c r="C15" s="222" t="s">
        <v>197</v>
      </c>
      <c r="D15" s="19"/>
      <c r="E15" s="15"/>
      <c r="F15" s="448"/>
      <c r="G15" s="449"/>
      <c r="H15" s="450"/>
      <c r="I15" s="15"/>
      <c r="J15" s="78">
        <f>'Прил 3'!J41</f>
        <v>9643181.2464199979</v>
      </c>
      <c r="K15" s="78">
        <f>'Прил 3'!K41</f>
        <v>10151640.34</v>
      </c>
      <c r="L15" s="78">
        <f>'Прил 3'!L41</f>
        <v>9759294.1700000018</v>
      </c>
      <c r="M15" s="78">
        <f>'Прил 3'!M41</f>
        <v>9740834.1699999999</v>
      </c>
      <c r="N15" s="78">
        <f>'Прил 3'!N41</f>
        <v>9740834.1699999999</v>
      </c>
      <c r="O15" s="78">
        <f t="shared" si="2"/>
        <v>49035784.096420005</v>
      </c>
    </row>
    <row r="16" spans="1:22" hidden="1" x14ac:dyDescent="0.25">
      <c r="A16" s="451"/>
      <c r="B16" s="467"/>
      <c r="C16" s="248"/>
      <c r="D16" s="2"/>
      <c r="E16" s="15"/>
      <c r="F16" s="448"/>
      <c r="G16" s="449"/>
      <c r="H16" s="450"/>
      <c r="I16" s="15"/>
      <c r="K16" s="78"/>
      <c r="L16" s="78"/>
      <c r="M16" s="78"/>
      <c r="N16" s="78"/>
      <c r="O16" s="78">
        <f t="shared" si="2"/>
        <v>0</v>
      </c>
    </row>
    <row r="17" spans="1:15" ht="31.5" customHeight="1" x14ac:dyDescent="0.25">
      <c r="A17" s="454" t="s">
        <v>51</v>
      </c>
      <c r="B17" s="459" t="s">
        <v>146</v>
      </c>
      <c r="C17" s="248" t="s">
        <v>52</v>
      </c>
      <c r="D17" s="19"/>
      <c r="E17" s="15" t="s">
        <v>48</v>
      </c>
      <c r="F17" s="448" t="s">
        <v>48</v>
      </c>
      <c r="G17" s="449"/>
      <c r="H17" s="450"/>
      <c r="I17" s="15" t="s">
        <v>48</v>
      </c>
      <c r="J17" s="78">
        <f>J20+J19+J18</f>
        <v>41738870.470000006</v>
      </c>
      <c r="K17" s="78">
        <f>K20+K19+K18</f>
        <v>34136465.450000003</v>
      </c>
      <c r="L17" s="78">
        <f>L20+L19+L18</f>
        <v>34316647.549999997</v>
      </c>
      <c r="M17" s="78">
        <f>M20+M19+M18</f>
        <v>32938039.449999999</v>
      </c>
      <c r="N17" s="78">
        <f>N20+N19+N18</f>
        <v>32938039.449999999</v>
      </c>
      <c r="O17" s="78">
        <f t="shared" si="2"/>
        <v>176068062.37</v>
      </c>
    </row>
    <row r="18" spans="1:15" ht="36.75" customHeight="1" x14ac:dyDescent="0.25">
      <c r="A18" s="455"/>
      <c r="B18" s="460"/>
      <c r="C18" s="222" t="s">
        <v>195</v>
      </c>
      <c r="D18" s="19"/>
      <c r="E18" s="164" t="s">
        <v>48</v>
      </c>
      <c r="F18" s="448" t="s">
        <v>48</v>
      </c>
      <c r="G18" s="449"/>
      <c r="H18" s="450"/>
      <c r="I18" s="164" t="s">
        <v>48</v>
      </c>
      <c r="J18" s="78">
        <v>6181600</v>
      </c>
      <c r="K18" s="78">
        <v>0</v>
      </c>
      <c r="L18" s="78">
        <v>0</v>
      </c>
      <c r="M18" s="78">
        <v>0</v>
      </c>
      <c r="N18" s="78">
        <v>0</v>
      </c>
      <c r="O18" s="78">
        <f t="shared" si="2"/>
        <v>6181600</v>
      </c>
    </row>
    <row r="19" spans="1:15" ht="31.5" x14ac:dyDescent="0.25">
      <c r="A19" s="455"/>
      <c r="B19" s="460"/>
      <c r="C19" s="222" t="s">
        <v>196</v>
      </c>
      <c r="D19" s="2"/>
      <c r="E19" s="15" t="s">
        <v>48</v>
      </c>
      <c r="F19" s="448" t="s">
        <v>48</v>
      </c>
      <c r="G19" s="449"/>
      <c r="H19" s="450"/>
      <c r="I19" s="15" t="s">
        <v>48</v>
      </c>
      <c r="J19" s="78">
        <f>556913.66+125691.96+1860000+197569.99</f>
        <v>2740175.6100000003</v>
      </c>
      <c r="K19" s="78">
        <f>'Прил 4'!K53</f>
        <v>1479370.68</v>
      </c>
      <c r="L19" s="78">
        <f>'Прил 2'!M49</f>
        <v>1134308.1000000001</v>
      </c>
      <c r="M19" s="78">
        <f>'Прил 4'!M53</f>
        <v>0</v>
      </c>
      <c r="N19" s="78">
        <f>'Прил 4'!N53</f>
        <v>0</v>
      </c>
      <c r="O19" s="78">
        <f t="shared" si="2"/>
        <v>5353854.3900000006</v>
      </c>
    </row>
    <row r="20" spans="1:15" ht="36" customHeight="1" x14ac:dyDescent="0.25">
      <c r="A20" s="455"/>
      <c r="B20" s="460"/>
      <c r="C20" s="222" t="s">
        <v>197</v>
      </c>
      <c r="D20" s="19" t="s">
        <v>74</v>
      </c>
      <c r="E20" s="15" t="s">
        <v>48</v>
      </c>
      <c r="F20" s="448" t="s">
        <v>48</v>
      </c>
      <c r="G20" s="449"/>
      <c r="H20" s="450"/>
      <c r="I20" s="15" t="s">
        <v>48</v>
      </c>
      <c r="J20" s="78">
        <f>'Прил 4'!J54</f>
        <v>32817094.860000007</v>
      </c>
      <c r="K20" s="78">
        <f>'Прил 4'!K54</f>
        <v>32657094.770000003</v>
      </c>
      <c r="L20" s="78">
        <f>'Прил 2'!M50</f>
        <v>33182339.449999996</v>
      </c>
      <c r="M20" s="78">
        <f>'Прил 4'!M54</f>
        <v>32938039.449999999</v>
      </c>
      <c r="N20" s="78">
        <f>'Прил 4'!N54</f>
        <v>32938039.449999999</v>
      </c>
      <c r="O20" s="78">
        <f t="shared" si="2"/>
        <v>164532607.98000002</v>
      </c>
    </row>
    <row r="21" spans="1:15" hidden="1" x14ac:dyDescent="0.25">
      <c r="A21" s="456"/>
      <c r="B21" s="461"/>
      <c r="C21" s="248"/>
      <c r="D21" s="19"/>
      <c r="E21" s="168"/>
      <c r="F21" s="169"/>
      <c r="G21" s="170"/>
      <c r="H21" s="171"/>
      <c r="I21" s="168"/>
      <c r="J21" s="78"/>
      <c r="K21" s="78"/>
      <c r="L21" s="78"/>
      <c r="M21" s="78"/>
      <c r="N21" s="78"/>
      <c r="O21" s="78">
        <f t="shared" si="2"/>
        <v>0</v>
      </c>
    </row>
    <row r="22" spans="1:15" ht="47.25" x14ac:dyDescent="0.25">
      <c r="A22" s="451" t="s">
        <v>53</v>
      </c>
      <c r="B22" s="452" t="s">
        <v>200</v>
      </c>
      <c r="C22" s="248" t="s">
        <v>50</v>
      </c>
      <c r="D22" s="19"/>
      <c r="E22" s="15" t="s">
        <v>48</v>
      </c>
      <c r="F22" s="448" t="s">
        <v>48</v>
      </c>
      <c r="G22" s="449"/>
      <c r="H22" s="450"/>
      <c r="I22" s="15" t="s">
        <v>48</v>
      </c>
      <c r="J22" s="85">
        <f>J24+J23</f>
        <v>13644150.699999999</v>
      </c>
      <c r="K22" s="85">
        <f>K24+K23</f>
        <v>15354612.059999999</v>
      </c>
      <c r="L22" s="85">
        <f>L24+L23</f>
        <v>12600562.359999999</v>
      </c>
      <c r="M22" s="85">
        <f>M24+M23</f>
        <v>12057989.939999999</v>
      </c>
      <c r="N22" s="85">
        <f>N24+N23</f>
        <v>12057989.939999999</v>
      </c>
      <c r="O22" s="78">
        <f t="shared" si="2"/>
        <v>65715304.999999993</v>
      </c>
    </row>
    <row r="23" spans="1:15" ht="31.5" x14ac:dyDescent="0.25">
      <c r="A23" s="451"/>
      <c r="B23" s="452"/>
      <c r="C23" s="222" t="s">
        <v>196</v>
      </c>
      <c r="D23" s="2"/>
      <c r="E23" s="15" t="s">
        <v>48</v>
      </c>
      <c r="F23" s="448" t="s">
        <v>48</v>
      </c>
      <c r="G23" s="449"/>
      <c r="H23" s="450"/>
      <c r="I23" s="15" t="s">
        <v>48</v>
      </c>
      <c r="J23" s="85">
        <f>155500+269769.2+65974.35+400000+76955.72</f>
        <v>968199.27</v>
      </c>
      <c r="K23" s="204">
        <f>'Прил 5'!K64</f>
        <v>1262658.05</v>
      </c>
      <c r="L23" s="204">
        <f>'Прил 2'!M95</f>
        <v>169961.31</v>
      </c>
      <c r="M23" s="18">
        <v>0</v>
      </c>
      <c r="N23" s="18">
        <v>0</v>
      </c>
      <c r="O23" s="78">
        <f t="shared" si="2"/>
        <v>2400818.6300000004</v>
      </c>
    </row>
    <row r="24" spans="1:15" ht="47.25" x14ac:dyDescent="0.25">
      <c r="A24" s="451"/>
      <c r="B24" s="452"/>
      <c r="C24" s="222" t="s">
        <v>197</v>
      </c>
      <c r="D24" s="19" t="s">
        <v>74</v>
      </c>
      <c r="E24" s="15" t="s">
        <v>48</v>
      </c>
      <c r="F24" s="448" t="s">
        <v>48</v>
      </c>
      <c r="G24" s="449"/>
      <c r="H24" s="450"/>
      <c r="I24" s="15" t="s">
        <v>48</v>
      </c>
      <c r="J24" s="85">
        <f>'Прил 5'!J65</f>
        <v>12675951.43</v>
      </c>
      <c r="K24" s="85">
        <f>'Прил 5'!K65</f>
        <v>14091954.009999998</v>
      </c>
      <c r="L24" s="85">
        <f>'Прил 5'!L65</f>
        <v>12430601.049999999</v>
      </c>
      <c r="M24" s="85">
        <f>'Прил 5'!M65</f>
        <v>12057989.939999999</v>
      </c>
      <c r="N24" s="85">
        <f>'Прил 5'!N65</f>
        <v>12057989.939999999</v>
      </c>
      <c r="O24" s="78">
        <f t="shared" si="2"/>
        <v>63314486.36999999</v>
      </c>
    </row>
    <row r="25" spans="1:15" x14ac:dyDescent="0.25">
      <c r="D25" s="20"/>
      <c r="E25" s="20"/>
      <c r="F25" s="20"/>
      <c r="G25" s="20"/>
      <c r="H25" s="20"/>
      <c r="I25" s="20"/>
    </row>
    <row r="26" spans="1:15" s="21" customFormat="1" ht="51.75" customHeight="1" x14ac:dyDescent="0.2">
      <c r="A26" s="453"/>
      <c r="B26" s="453"/>
      <c r="C26" s="453"/>
      <c r="D26" s="453"/>
      <c r="L26" s="447"/>
      <c r="M26" s="447"/>
      <c r="N26" s="447"/>
      <c r="O26" s="447"/>
    </row>
    <row r="27" spans="1:15" s="23" customFormat="1" hidden="1" x14ac:dyDescent="0.2">
      <c r="A27" s="463" t="s">
        <v>2</v>
      </c>
      <c r="B27" s="463"/>
      <c r="C27" s="463"/>
      <c r="D27" s="463"/>
      <c r="E27" s="464"/>
      <c r="F27" s="464"/>
      <c r="G27" s="464"/>
      <c r="H27" s="464"/>
      <c r="I27" s="464"/>
      <c r="J27" s="22"/>
      <c r="K27" s="22"/>
      <c r="N27" s="308"/>
      <c r="O27" s="23" t="s">
        <v>1</v>
      </c>
    </row>
    <row r="28" spans="1:15" hidden="1" x14ac:dyDescent="0.25"/>
    <row r="29" spans="1:15" hidden="1" x14ac:dyDescent="0.25"/>
    <row r="30" spans="1:15" hidden="1" x14ac:dyDescent="0.25"/>
  </sheetData>
  <mergeCells count="37">
    <mergeCell ref="L2:O2"/>
    <mergeCell ref="F8:H8"/>
    <mergeCell ref="F9:H9"/>
    <mergeCell ref="A27:D27"/>
    <mergeCell ref="E27:I27"/>
    <mergeCell ref="A3:O3"/>
    <mergeCell ref="A5:A6"/>
    <mergeCell ref="B5:B6"/>
    <mergeCell ref="C5:C6"/>
    <mergeCell ref="D5:I5"/>
    <mergeCell ref="J5:O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O1"/>
    <mergeCell ref="L26:O26"/>
    <mergeCell ref="F23:H23"/>
    <mergeCell ref="A22:A24"/>
    <mergeCell ref="B22:B24"/>
    <mergeCell ref="F22:H22"/>
    <mergeCell ref="F24:H24"/>
    <mergeCell ref="A26:D26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view="pageBreakPreview" zoomScale="64" zoomScaleNormal="85" zoomScaleSheetLayoutView="64" workbookViewId="0">
      <selection activeCell="O1" sqref="O1:P1"/>
    </sheetView>
  </sheetViews>
  <sheetFormatPr defaultColWidth="9.140625" defaultRowHeight="15.75" x14ac:dyDescent="0.2"/>
  <cols>
    <col min="1" max="1" width="7.7109375" style="26" customWidth="1"/>
    <col min="2" max="2" width="27.570312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5703125" style="23" customWidth="1"/>
    <col min="9" max="9" width="9.140625" style="23"/>
    <col min="10" max="10" width="17.28515625" style="23" customWidth="1"/>
    <col min="11" max="11" width="17.42578125" style="23" customWidth="1"/>
    <col min="12" max="12" width="18" style="23" customWidth="1"/>
    <col min="13" max="13" width="18.28515625" style="23" customWidth="1"/>
    <col min="14" max="14" width="18.28515625" style="308" customWidth="1"/>
    <col min="15" max="15" width="23" style="23" customWidth="1"/>
    <col min="16" max="16" width="20.42578125" style="23" customWidth="1"/>
    <col min="17" max="17" width="23.5703125" style="23" customWidth="1"/>
    <col min="18" max="16384" width="9.140625" style="23"/>
  </cols>
  <sheetData>
    <row r="1" spans="1:17" ht="83.25" customHeight="1" x14ac:dyDescent="0.2">
      <c r="O1" s="479" t="s">
        <v>296</v>
      </c>
      <c r="P1" s="479"/>
    </row>
    <row r="2" spans="1:17" ht="90.75" customHeight="1" x14ac:dyDescent="0.2">
      <c r="E2" s="399"/>
      <c r="F2" s="400"/>
      <c r="G2" s="400"/>
      <c r="L2" s="179"/>
      <c r="M2" s="179"/>
      <c r="N2" s="179"/>
      <c r="O2" s="479" t="s">
        <v>173</v>
      </c>
      <c r="P2" s="479"/>
      <c r="Q2" s="1"/>
    </row>
    <row r="3" spans="1:17" ht="51" customHeight="1" x14ac:dyDescent="0.2">
      <c r="A3" s="480" t="s">
        <v>231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129"/>
    </row>
    <row r="4" spans="1:17" x14ac:dyDescent="0.2">
      <c r="E4" s="7"/>
      <c r="F4" s="6" t="s">
        <v>29</v>
      </c>
      <c r="G4" s="7">
        <v>1</v>
      </c>
      <c r="H4" s="7"/>
    </row>
    <row r="5" spans="1:17" ht="18" customHeight="1" x14ac:dyDescent="0.2">
      <c r="A5" s="419" t="s">
        <v>3</v>
      </c>
      <c r="B5" s="420" t="s">
        <v>292</v>
      </c>
      <c r="C5" s="387" t="s">
        <v>234</v>
      </c>
      <c r="D5" s="387" t="s">
        <v>4</v>
      </c>
      <c r="E5" s="387"/>
      <c r="F5" s="387"/>
      <c r="G5" s="387"/>
      <c r="H5" s="387"/>
      <c r="I5" s="387"/>
      <c r="J5" s="390" t="s">
        <v>230</v>
      </c>
      <c r="K5" s="391"/>
      <c r="L5" s="391"/>
      <c r="M5" s="391"/>
      <c r="N5" s="391"/>
      <c r="O5" s="392"/>
      <c r="P5" s="387" t="s">
        <v>5</v>
      </c>
    </row>
    <row r="6" spans="1:17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60" t="s">
        <v>160</v>
      </c>
      <c r="N6" s="307" t="s">
        <v>247</v>
      </c>
      <c r="O6" s="307" t="s">
        <v>250</v>
      </c>
      <c r="P6" s="387"/>
    </row>
    <row r="7" spans="1:17" ht="23.25" customHeight="1" x14ac:dyDescent="0.2">
      <c r="A7" s="2"/>
      <c r="B7" s="474" t="s">
        <v>225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17" ht="33.75" customHeight="1" x14ac:dyDescent="0.2">
      <c r="A8" s="68" t="s">
        <v>13</v>
      </c>
      <c r="B8" s="471" t="s">
        <v>68</v>
      </c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3"/>
      <c r="P8" s="70"/>
    </row>
    <row r="9" spans="1:17" ht="29.25" customHeight="1" x14ac:dyDescent="0.2">
      <c r="A9" s="481" t="s">
        <v>30</v>
      </c>
      <c r="B9" s="487" t="s">
        <v>119</v>
      </c>
      <c r="C9" s="3" t="s">
        <v>56</v>
      </c>
      <c r="D9" s="2" t="s">
        <v>74</v>
      </c>
      <c r="E9" s="2" t="s">
        <v>27</v>
      </c>
      <c r="F9" s="29" t="s">
        <v>77</v>
      </c>
      <c r="G9" s="312">
        <v>1</v>
      </c>
      <c r="H9" s="30" t="s">
        <v>252</v>
      </c>
      <c r="I9" s="332" t="s">
        <v>79</v>
      </c>
      <c r="J9" s="78">
        <f>4571585.14+165003.07</f>
        <v>4736588.21</v>
      </c>
      <c r="K9" s="78">
        <f>4807782.33-88</f>
        <v>4807694.33</v>
      </c>
      <c r="L9" s="78">
        <f>4781262.36+141345.47-12.98</f>
        <v>4922594.8499999996</v>
      </c>
      <c r="M9" s="78">
        <f>L9+12.98</f>
        <v>4922607.83</v>
      </c>
      <c r="N9" s="78">
        <f>M9</f>
        <v>4922607.83</v>
      </c>
      <c r="O9" s="78">
        <f>SUM(J9:N9)</f>
        <v>24312093.049999997</v>
      </c>
      <c r="P9" s="484" t="s">
        <v>82</v>
      </c>
      <c r="Q9" s="23" t="s">
        <v>192</v>
      </c>
    </row>
    <row r="10" spans="1:17" s="321" customFormat="1" ht="29.25" customHeight="1" x14ac:dyDescent="0.2">
      <c r="A10" s="482"/>
      <c r="B10" s="488"/>
      <c r="C10" s="3" t="s">
        <v>56</v>
      </c>
      <c r="D10" s="323" t="s">
        <v>74</v>
      </c>
      <c r="E10" s="323" t="s">
        <v>27</v>
      </c>
      <c r="F10" s="72" t="s">
        <v>77</v>
      </c>
      <c r="G10" s="324">
        <v>1</v>
      </c>
      <c r="H10" s="30" t="s">
        <v>252</v>
      </c>
      <c r="I10" s="333" t="s">
        <v>286</v>
      </c>
      <c r="J10" s="78">
        <v>1430437.95</v>
      </c>
      <c r="K10" s="78">
        <v>1451923.68</v>
      </c>
      <c r="L10" s="78">
        <f>1443941.23+42686.34-3.92</f>
        <v>1486623.6500000001</v>
      </c>
      <c r="M10" s="78">
        <f>1443941.23+42686.34</f>
        <v>1486627.57</v>
      </c>
      <c r="N10" s="78">
        <f>1443941.23+42686.34</f>
        <v>1486627.57</v>
      </c>
      <c r="O10" s="78">
        <f>SUM(J10:N10)</f>
        <v>7342240.4200000009</v>
      </c>
      <c r="P10" s="485"/>
    </row>
    <row r="11" spans="1:17" s="189" customFormat="1" ht="29.25" customHeight="1" x14ac:dyDescent="0.2">
      <c r="A11" s="482"/>
      <c r="B11" s="488"/>
      <c r="C11" s="101" t="s">
        <v>56</v>
      </c>
      <c r="D11" s="74" t="s">
        <v>74</v>
      </c>
      <c r="E11" s="74" t="s">
        <v>27</v>
      </c>
      <c r="F11" s="314" t="s">
        <v>77</v>
      </c>
      <c r="G11" s="315">
        <v>1</v>
      </c>
      <c r="H11" s="313" t="s">
        <v>252</v>
      </c>
      <c r="I11" s="74" t="s">
        <v>128</v>
      </c>
      <c r="J11" s="78"/>
      <c r="K11" s="78">
        <v>1560</v>
      </c>
      <c r="L11" s="78">
        <v>1560</v>
      </c>
      <c r="M11" s="78">
        <v>1560</v>
      </c>
      <c r="N11" s="78">
        <v>1560</v>
      </c>
      <c r="O11" s="78">
        <f>J11+K11+L11+M11+N11</f>
        <v>6240</v>
      </c>
      <c r="P11" s="485"/>
    </row>
    <row r="12" spans="1:17" ht="27" customHeight="1" x14ac:dyDescent="0.2">
      <c r="A12" s="482"/>
      <c r="B12" s="488"/>
      <c r="C12" s="101" t="s">
        <v>56</v>
      </c>
      <c r="D12" s="74" t="s">
        <v>74</v>
      </c>
      <c r="E12" s="74" t="s">
        <v>27</v>
      </c>
      <c r="F12" s="314" t="s">
        <v>77</v>
      </c>
      <c r="G12" s="315">
        <v>1</v>
      </c>
      <c r="H12" s="313" t="s">
        <v>252</v>
      </c>
      <c r="I12" s="74" t="s">
        <v>28</v>
      </c>
      <c r="J12" s="78">
        <f>1019485-3.2+1687.2</f>
        <v>1021169</v>
      </c>
      <c r="K12" s="78">
        <f>1027352.04-3300-6800</f>
        <v>1017252.04</v>
      </c>
      <c r="L12" s="78">
        <f>1047383+9060-4206-94</f>
        <v>1052143</v>
      </c>
      <c r="M12" s="78">
        <f t="shared" ref="M12:N12" si="0">1047383</f>
        <v>1047383</v>
      </c>
      <c r="N12" s="78">
        <f t="shared" si="0"/>
        <v>1047383</v>
      </c>
      <c r="O12" s="78">
        <f>J12+K12+L12+M12+N12</f>
        <v>5185330.04</v>
      </c>
      <c r="P12" s="485"/>
    </row>
    <row r="13" spans="1:17" ht="27" customHeight="1" x14ac:dyDescent="0.2">
      <c r="A13" s="482"/>
      <c r="B13" s="488"/>
      <c r="C13" s="101" t="s">
        <v>56</v>
      </c>
      <c r="D13" s="73" t="s">
        <v>74</v>
      </c>
      <c r="E13" s="74" t="s">
        <v>27</v>
      </c>
      <c r="F13" s="314" t="s">
        <v>77</v>
      </c>
      <c r="G13" s="315">
        <v>1</v>
      </c>
      <c r="H13" s="313" t="s">
        <v>252</v>
      </c>
      <c r="I13" s="74" t="s">
        <v>127</v>
      </c>
      <c r="J13" s="103">
        <v>150</v>
      </c>
      <c r="K13" s="103">
        <v>160</v>
      </c>
      <c r="L13" s="103">
        <v>160</v>
      </c>
      <c r="M13" s="103">
        <v>160</v>
      </c>
      <c r="N13" s="103">
        <v>160</v>
      </c>
      <c r="O13" s="78">
        <f t="shared" ref="O13:O15" si="1">J13+K13+L13+M13+N13</f>
        <v>790</v>
      </c>
      <c r="P13" s="485"/>
    </row>
    <row r="14" spans="1:17" ht="127.5" customHeight="1" x14ac:dyDescent="0.2">
      <c r="A14" s="482"/>
      <c r="B14" s="477" t="s">
        <v>139</v>
      </c>
      <c r="C14" s="101" t="s">
        <v>56</v>
      </c>
      <c r="D14" s="73" t="s">
        <v>74</v>
      </c>
      <c r="E14" s="74" t="s">
        <v>27</v>
      </c>
      <c r="F14" s="314" t="s">
        <v>77</v>
      </c>
      <c r="G14" s="315">
        <v>1</v>
      </c>
      <c r="H14" s="313" t="s">
        <v>260</v>
      </c>
      <c r="I14" s="334" t="s">
        <v>79</v>
      </c>
      <c r="J14" s="103">
        <v>129363.95</v>
      </c>
      <c r="K14" s="283">
        <f>87047.1+46225.91</f>
        <v>133273.01</v>
      </c>
      <c r="L14" s="103">
        <v>15604.58</v>
      </c>
      <c r="M14" s="103"/>
      <c r="N14" s="103"/>
      <c r="O14" s="78">
        <f t="shared" si="1"/>
        <v>278241.54000000004</v>
      </c>
      <c r="P14" s="485"/>
    </row>
    <row r="15" spans="1:17" s="321" customFormat="1" ht="127.5" customHeight="1" x14ac:dyDescent="0.2">
      <c r="A15" s="482"/>
      <c r="B15" s="478"/>
      <c r="C15" s="101" t="s">
        <v>56</v>
      </c>
      <c r="D15" s="73" t="s">
        <v>74</v>
      </c>
      <c r="E15" s="74" t="s">
        <v>27</v>
      </c>
      <c r="F15" s="314" t="s">
        <v>77</v>
      </c>
      <c r="G15" s="315">
        <v>1</v>
      </c>
      <c r="H15" s="313" t="s">
        <v>260</v>
      </c>
      <c r="I15" s="334" t="s">
        <v>286</v>
      </c>
      <c r="J15" s="103">
        <v>39067.919999999998</v>
      </c>
      <c r="K15" s="283">
        <f>26288.22+13960.23</f>
        <v>40248.449999999997</v>
      </c>
      <c r="L15" s="103">
        <v>4712.58</v>
      </c>
      <c r="M15" s="103"/>
      <c r="N15" s="103"/>
      <c r="O15" s="78">
        <f t="shared" si="1"/>
        <v>84028.95</v>
      </c>
      <c r="P15" s="485"/>
    </row>
    <row r="16" spans="1:17" ht="142.5" customHeight="1" x14ac:dyDescent="0.2">
      <c r="A16" s="483"/>
      <c r="B16" s="125" t="s">
        <v>140</v>
      </c>
      <c r="C16" s="3" t="s">
        <v>56</v>
      </c>
      <c r="D16" s="73" t="s">
        <v>74</v>
      </c>
      <c r="E16" s="74" t="s">
        <v>27</v>
      </c>
      <c r="F16" s="75" t="s">
        <v>77</v>
      </c>
      <c r="G16" s="77">
        <v>1</v>
      </c>
      <c r="H16" s="74" t="s">
        <v>261</v>
      </c>
      <c r="I16" s="2" t="s">
        <v>79</v>
      </c>
      <c r="J16" s="78">
        <v>1306.71</v>
      </c>
      <c r="K16" s="78">
        <f>1371.86+88</f>
        <v>1459.86</v>
      </c>
      <c r="L16" s="78">
        <f>12.98</f>
        <v>12.98</v>
      </c>
      <c r="M16" s="78"/>
      <c r="N16" s="78"/>
      <c r="O16" s="78">
        <f>J16+K16+L16+M16+N16</f>
        <v>2779.5499999999997</v>
      </c>
      <c r="P16" s="486"/>
    </row>
    <row r="17" spans="1:17" s="328" customFormat="1" ht="142.5" customHeight="1" x14ac:dyDescent="0.2">
      <c r="A17" s="330"/>
      <c r="B17" s="329" t="s">
        <v>140</v>
      </c>
      <c r="C17" s="3" t="s">
        <v>56</v>
      </c>
      <c r="D17" s="73" t="s">
        <v>74</v>
      </c>
      <c r="E17" s="74" t="s">
        <v>27</v>
      </c>
      <c r="F17" s="75" t="s">
        <v>77</v>
      </c>
      <c r="G17" s="77">
        <v>1</v>
      </c>
      <c r="H17" s="74" t="s">
        <v>261</v>
      </c>
      <c r="I17" s="327" t="s">
        <v>286</v>
      </c>
      <c r="J17" s="78">
        <f>J16*30.2%</f>
        <v>394.62642</v>
      </c>
      <c r="K17" s="78">
        <f>414.3+26.58</f>
        <v>440.88</v>
      </c>
      <c r="L17" s="78">
        <f>3.92</f>
        <v>3.92</v>
      </c>
      <c r="M17" s="78"/>
      <c r="N17" s="78"/>
      <c r="O17" s="78">
        <f>J17+K17+L17+M17+N17</f>
        <v>839.42641999999989</v>
      </c>
      <c r="P17" s="331"/>
    </row>
    <row r="18" spans="1:17" s="376" customFormat="1" ht="142.5" customHeight="1" x14ac:dyDescent="0.2">
      <c r="A18" s="383"/>
      <c r="B18" s="384" t="s">
        <v>141</v>
      </c>
      <c r="C18" s="3" t="s">
        <v>56</v>
      </c>
      <c r="D18" s="73" t="s">
        <v>74</v>
      </c>
      <c r="E18" s="74" t="s">
        <v>27</v>
      </c>
      <c r="F18" s="75" t="s">
        <v>77</v>
      </c>
      <c r="G18" s="77">
        <v>1</v>
      </c>
      <c r="H18" s="74" t="s">
        <v>267</v>
      </c>
      <c r="I18" s="378" t="s">
        <v>79</v>
      </c>
      <c r="J18" s="78"/>
      <c r="K18" s="78"/>
      <c r="L18" s="78">
        <f>18857.99</f>
        <v>18857.990000000002</v>
      </c>
      <c r="M18" s="78"/>
      <c r="N18" s="78"/>
      <c r="O18" s="78">
        <f t="shared" ref="O18:O19" si="2">J18+K18+L18+M18+N18</f>
        <v>18857.990000000002</v>
      </c>
      <c r="P18" s="385"/>
    </row>
    <row r="19" spans="1:17" s="376" customFormat="1" ht="142.5" customHeight="1" x14ac:dyDescent="0.2">
      <c r="A19" s="383"/>
      <c r="B19" s="384" t="s">
        <v>141</v>
      </c>
      <c r="C19" s="3" t="s">
        <v>56</v>
      </c>
      <c r="D19" s="73" t="s">
        <v>74</v>
      </c>
      <c r="E19" s="74" t="s">
        <v>27</v>
      </c>
      <c r="F19" s="75" t="s">
        <v>77</v>
      </c>
      <c r="G19" s="77">
        <v>1</v>
      </c>
      <c r="H19" s="74" t="s">
        <v>267</v>
      </c>
      <c r="I19" s="378" t="s">
        <v>286</v>
      </c>
      <c r="J19" s="78"/>
      <c r="K19" s="78"/>
      <c r="L19" s="78">
        <v>5695.12</v>
      </c>
      <c r="M19" s="78"/>
      <c r="N19" s="78"/>
      <c r="O19" s="78">
        <f t="shared" si="2"/>
        <v>5695.12</v>
      </c>
      <c r="P19" s="385"/>
    </row>
    <row r="20" spans="1:17" ht="83.25" customHeight="1" x14ac:dyDescent="0.2">
      <c r="A20" s="102" t="s">
        <v>54</v>
      </c>
      <c r="B20" s="247" t="s">
        <v>120</v>
      </c>
      <c r="C20" s="3" t="s">
        <v>56</v>
      </c>
      <c r="D20" s="2" t="s">
        <v>74</v>
      </c>
      <c r="E20" s="2" t="s">
        <v>27</v>
      </c>
      <c r="F20" s="29" t="s">
        <v>77</v>
      </c>
      <c r="G20" s="312">
        <v>1</v>
      </c>
      <c r="H20" s="333" t="s">
        <v>253</v>
      </c>
      <c r="I20" s="2" t="s">
        <v>28</v>
      </c>
      <c r="J20" s="78">
        <f>5560+230+1160</f>
        <v>6950</v>
      </c>
      <c r="K20" s="78">
        <f>6120+236+6800</f>
        <v>13156</v>
      </c>
      <c r="L20" s="144">
        <v>13700</v>
      </c>
      <c r="M20" s="144">
        <v>0</v>
      </c>
      <c r="N20" s="144">
        <v>0</v>
      </c>
      <c r="O20" s="78">
        <f>J20+K20+L20+M20+N20</f>
        <v>33806</v>
      </c>
      <c r="P20" s="31" t="s">
        <v>83</v>
      </c>
    </row>
    <row r="21" spans="1:17" ht="79.5" customHeight="1" x14ac:dyDescent="0.2">
      <c r="A21" s="38" t="s">
        <v>57</v>
      </c>
      <c r="B21" s="81" t="s">
        <v>121</v>
      </c>
      <c r="C21" s="3" t="s">
        <v>56</v>
      </c>
      <c r="D21" s="104" t="s">
        <v>74</v>
      </c>
      <c r="E21" s="105" t="s">
        <v>27</v>
      </c>
      <c r="F21" s="314" t="s">
        <v>77</v>
      </c>
      <c r="G21" s="315">
        <v>1</v>
      </c>
      <c r="H21" s="313" t="s">
        <v>251</v>
      </c>
      <c r="I21" s="105" t="s">
        <v>28</v>
      </c>
      <c r="J21" s="78">
        <v>370000</v>
      </c>
      <c r="K21" s="78">
        <v>370000</v>
      </c>
      <c r="L21" s="144">
        <v>0</v>
      </c>
      <c r="M21" s="144">
        <f>L21</f>
        <v>0</v>
      </c>
      <c r="N21" s="144">
        <f>M21</f>
        <v>0</v>
      </c>
      <c r="O21" s="78">
        <f t="shared" ref="O21:O28" si="3">J21+K21+L21+M21+N21</f>
        <v>740000</v>
      </c>
      <c r="P21" s="31"/>
    </row>
    <row r="22" spans="1:17" ht="213" customHeight="1" x14ac:dyDescent="0.2">
      <c r="A22" s="38" t="s">
        <v>103</v>
      </c>
      <c r="B22" s="81" t="s">
        <v>129</v>
      </c>
      <c r="C22" s="3" t="s">
        <v>56</v>
      </c>
      <c r="D22" s="104" t="s">
        <v>74</v>
      </c>
      <c r="E22" s="105" t="s">
        <v>27</v>
      </c>
      <c r="F22" s="314" t="s">
        <v>77</v>
      </c>
      <c r="G22" s="315">
        <v>1</v>
      </c>
      <c r="H22" s="313" t="s">
        <v>262</v>
      </c>
      <c r="I22" s="105" t="s">
        <v>28</v>
      </c>
      <c r="J22" s="78">
        <f>27800-6800</f>
        <v>21000</v>
      </c>
      <c r="K22" s="78">
        <f>30600-7700+27200</f>
        <v>50100</v>
      </c>
      <c r="L22" s="78">
        <v>41100</v>
      </c>
      <c r="M22" s="78"/>
      <c r="N22" s="78"/>
      <c r="O22" s="78">
        <f t="shared" si="3"/>
        <v>112200</v>
      </c>
      <c r="P22" s="31"/>
      <c r="Q22" s="284" t="s">
        <v>219</v>
      </c>
    </row>
    <row r="23" spans="1:17" ht="102.75" customHeight="1" x14ac:dyDescent="0.2">
      <c r="A23" s="38" t="s">
        <v>161</v>
      </c>
      <c r="B23" s="81" t="s">
        <v>168</v>
      </c>
      <c r="C23" s="3" t="s">
        <v>56</v>
      </c>
      <c r="D23" s="104" t="s">
        <v>74</v>
      </c>
      <c r="E23" s="105" t="s">
        <v>27</v>
      </c>
      <c r="F23" s="314" t="s">
        <v>77</v>
      </c>
      <c r="G23" s="315">
        <v>1</v>
      </c>
      <c r="H23" s="313" t="s">
        <v>254</v>
      </c>
      <c r="I23" s="105" t="s">
        <v>28</v>
      </c>
      <c r="J23" s="78">
        <v>0</v>
      </c>
      <c r="K23" s="78">
        <f>3300-300</f>
        <v>3000</v>
      </c>
      <c r="L23" s="78">
        <f>2500-300</f>
        <v>2200</v>
      </c>
      <c r="M23" s="78">
        <v>2500</v>
      </c>
      <c r="N23" s="78">
        <v>0</v>
      </c>
      <c r="O23" s="78">
        <f t="shared" si="3"/>
        <v>7700</v>
      </c>
      <c r="P23" s="31"/>
      <c r="Q23" s="317" t="s">
        <v>284</v>
      </c>
    </row>
    <row r="24" spans="1:17" s="183" customFormat="1" ht="131.25" customHeight="1" x14ac:dyDescent="0.2">
      <c r="A24" s="38" t="s">
        <v>177</v>
      </c>
      <c r="B24" s="81" t="s">
        <v>176</v>
      </c>
      <c r="C24" s="3" t="s">
        <v>56</v>
      </c>
      <c r="D24" s="104" t="s">
        <v>74</v>
      </c>
      <c r="E24" s="105" t="s">
        <v>27</v>
      </c>
      <c r="F24" s="106" t="s">
        <v>77</v>
      </c>
      <c r="G24" s="107">
        <v>1</v>
      </c>
      <c r="H24" s="108" t="s">
        <v>263</v>
      </c>
      <c r="I24" s="105" t="s">
        <v>79</v>
      </c>
      <c r="J24" s="78">
        <v>4112.6400000000003</v>
      </c>
      <c r="K24" s="78"/>
      <c r="L24" s="78"/>
      <c r="M24" s="78"/>
      <c r="N24" s="78"/>
      <c r="O24" s="78">
        <f t="shared" si="3"/>
        <v>4112.6400000000003</v>
      </c>
      <c r="P24" s="31"/>
    </row>
    <row r="25" spans="1:17" s="328" customFormat="1" ht="131.25" customHeight="1" x14ac:dyDescent="0.2">
      <c r="A25" s="246" t="s">
        <v>202</v>
      </c>
      <c r="B25" s="81" t="s">
        <v>176</v>
      </c>
      <c r="C25" s="3" t="s">
        <v>56</v>
      </c>
      <c r="D25" s="104" t="s">
        <v>74</v>
      </c>
      <c r="E25" s="105" t="s">
        <v>27</v>
      </c>
      <c r="F25" s="106" t="s">
        <v>77</v>
      </c>
      <c r="G25" s="107">
        <v>1</v>
      </c>
      <c r="H25" s="108" t="s">
        <v>263</v>
      </c>
      <c r="I25" s="339" t="s">
        <v>286</v>
      </c>
      <c r="J25" s="78">
        <v>1242.02</v>
      </c>
      <c r="K25" s="78"/>
      <c r="L25" s="78"/>
      <c r="M25" s="78"/>
      <c r="N25" s="78"/>
      <c r="O25" s="78">
        <f t="shared" ref="O25" si="4">J25+K25+L25+M25+N25</f>
        <v>1242.02</v>
      </c>
      <c r="P25" s="31"/>
    </row>
    <row r="26" spans="1:17" s="245" customFormat="1" ht="91.5" customHeight="1" x14ac:dyDescent="0.2">
      <c r="A26" s="246" t="s">
        <v>236</v>
      </c>
      <c r="B26" s="247" t="s">
        <v>204</v>
      </c>
      <c r="C26" s="3" t="s">
        <v>56</v>
      </c>
      <c r="D26" s="104" t="s">
        <v>74</v>
      </c>
      <c r="E26" s="105" t="s">
        <v>27</v>
      </c>
      <c r="F26" s="106" t="s">
        <v>77</v>
      </c>
      <c r="G26" s="107">
        <v>1</v>
      </c>
      <c r="H26" s="335" t="s">
        <v>264</v>
      </c>
      <c r="I26" s="105" t="s">
        <v>28</v>
      </c>
      <c r="J26" s="78"/>
      <c r="K26" s="78">
        <v>3300</v>
      </c>
      <c r="L26" s="78">
        <v>250</v>
      </c>
      <c r="M26" s="78">
        <v>250</v>
      </c>
      <c r="N26" s="78">
        <v>250</v>
      </c>
      <c r="O26" s="78">
        <f t="shared" si="3"/>
        <v>4050</v>
      </c>
      <c r="P26" s="31"/>
    </row>
    <row r="27" spans="1:17" s="297" customFormat="1" ht="91.5" customHeight="1" x14ac:dyDescent="0.2">
      <c r="A27" s="246" t="s">
        <v>287</v>
      </c>
      <c r="B27" s="43" t="s">
        <v>237</v>
      </c>
      <c r="C27" s="3" t="s">
        <v>56</v>
      </c>
      <c r="D27" s="104" t="s">
        <v>74</v>
      </c>
      <c r="E27" s="105" t="s">
        <v>27</v>
      </c>
      <c r="F27" s="106" t="s">
        <v>77</v>
      </c>
      <c r="G27" s="107">
        <v>1</v>
      </c>
      <c r="H27" s="108" t="s">
        <v>265</v>
      </c>
      <c r="I27" s="105" t="s">
        <v>28</v>
      </c>
      <c r="J27" s="78"/>
      <c r="K27" s="78">
        <v>116125</v>
      </c>
      <c r="L27" s="78"/>
      <c r="M27" s="78"/>
      <c r="N27" s="78"/>
      <c r="O27" s="78">
        <f t="shared" si="3"/>
        <v>116125</v>
      </c>
      <c r="P27" s="31"/>
    </row>
    <row r="28" spans="1:17" s="303" customFormat="1" ht="144" customHeight="1" x14ac:dyDescent="0.2">
      <c r="A28" s="246" t="s">
        <v>288</v>
      </c>
      <c r="B28" s="43" t="s">
        <v>246</v>
      </c>
      <c r="C28" s="3" t="s">
        <v>56</v>
      </c>
      <c r="D28" s="104" t="s">
        <v>74</v>
      </c>
      <c r="E28" s="105" t="s">
        <v>27</v>
      </c>
      <c r="F28" s="106" t="s">
        <v>77</v>
      </c>
      <c r="G28" s="107">
        <v>1</v>
      </c>
      <c r="H28" s="108" t="s">
        <v>266</v>
      </c>
      <c r="I28" s="105" t="s">
        <v>28</v>
      </c>
      <c r="J28" s="78"/>
      <c r="K28" s="78">
        <v>200000</v>
      </c>
      <c r="L28" s="78"/>
      <c r="M28" s="78"/>
      <c r="N28" s="78"/>
      <c r="O28" s="78">
        <f t="shared" si="3"/>
        <v>200000</v>
      </c>
      <c r="P28" s="31"/>
    </row>
    <row r="29" spans="1:17" ht="31.5" customHeight="1" x14ac:dyDescent="0.2">
      <c r="A29" s="62"/>
      <c r="B29" s="63" t="s">
        <v>15</v>
      </c>
      <c r="C29" s="64"/>
      <c r="D29" s="63"/>
      <c r="E29" s="63"/>
      <c r="F29" s="65"/>
      <c r="G29" s="66"/>
      <c r="H29" s="67"/>
      <c r="I29" s="63"/>
      <c r="J29" s="80">
        <f>SUM(J9:J25)</f>
        <v>7761783.0264199991</v>
      </c>
      <c r="K29" s="80">
        <f>SUM(K9:K28)</f>
        <v>8209693.25</v>
      </c>
      <c r="L29" s="80">
        <f>SUM(L9:L28)</f>
        <v>7565218.6700000009</v>
      </c>
      <c r="M29" s="80">
        <f t="shared" ref="M29" si="5">SUM(M9:M28)</f>
        <v>7461088.4000000004</v>
      </c>
      <c r="N29" s="80">
        <f>SUM(N9:N28)</f>
        <v>7458588.4000000004</v>
      </c>
      <c r="O29" s="80">
        <f>J29+K29+L29+M29+N29</f>
        <v>38456371.746419996</v>
      </c>
      <c r="P29" s="64"/>
      <c r="Q29" s="22"/>
    </row>
    <row r="30" spans="1:17" ht="32.25" customHeight="1" x14ac:dyDescent="0.2">
      <c r="A30" s="68" t="s">
        <v>16</v>
      </c>
      <c r="B30" s="471" t="s">
        <v>71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  <c r="M30" s="472"/>
      <c r="N30" s="472"/>
      <c r="O30" s="473"/>
      <c r="P30" s="69"/>
    </row>
    <row r="31" spans="1:17" ht="123.75" customHeight="1" x14ac:dyDescent="0.2">
      <c r="A31" s="388" t="s">
        <v>17</v>
      </c>
      <c r="B31" s="125" t="s">
        <v>122</v>
      </c>
      <c r="C31" s="3" t="s">
        <v>56</v>
      </c>
      <c r="D31" s="2" t="s">
        <v>74</v>
      </c>
      <c r="E31" s="2" t="s">
        <v>27</v>
      </c>
      <c r="F31" s="29" t="s">
        <v>77</v>
      </c>
      <c r="G31" s="27">
        <v>1</v>
      </c>
      <c r="H31" s="30" t="s">
        <v>252</v>
      </c>
      <c r="I31" s="2" t="s">
        <v>78</v>
      </c>
      <c r="J31" s="78">
        <f>2089586.88+21000-109173.01+61290+46791.28</f>
        <v>2109495.15</v>
      </c>
      <c r="K31" s="78">
        <f>2190463.8-317.56-22486.6-165.41</f>
        <v>2167494.2299999995</v>
      </c>
      <c r="L31" s="78">
        <f>2174893.88+107351.89-85.45</f>
        <v>2282160.3199999998</v>
      </c>
      <c r="M31" s="78">
        <f>L31+85.45</f>
        <v>2282245.77</v>
      </c>
      <c r="N31" s="78">
        <f>M31</f>
        <v>2282245.77</v>
      </c>
      <c r="O31" s="78">
        <f>J31+K31+L31+M31+N31</f>
        <v>11123641.239999998</v>
      </c>
      <c r="P31" s="420" t="s">
        <v>81</v>
      </c>
    </row>
    <row r="32" spans="1:17" ht="134.25" customHeight="1" x14ac:dyDescent="0.2">
      <c r="A32" s="470"/>
      <c r="B32" s="125" t="s">
        <v>139</v>
      </c>
      <c r="C32" s="101" t="s">
        <v>56</v>
      </c>
      <c r="D32" s="74" t="s">
        <v>74</v>
      </c>
      <c r="E32" s="74" t="s">
        <v>27</v>
      </c>
      <c r="F32" s="75" t="s">
        <v>77</v>
      </c>
      <c r="G32" s="77">
        <v>1</v>
      </c>
      <c r="H32" s="74" t="s">
        <v>260</v>
      </c>
      <c r="I32" s="74" t="s">
        <v>78</v>
      </c>
      <c r="J32" s="78">
        <f>108081.28-46791.28+9459.03</f>
        <v>70749.03</v>
      </c>
      <c r="K32" s="153">
        <f>31710.43+31755.55+42891.99</f>
        <v>106357.97</v>
      </c>
      <c r="L32" s="78">
        <v>7454.76</v>
      </c>
      <c r="M32" s="78"/>
      <c r="N32" s="78"/>
      <c r="O32" s="78">
        <f t="shared" ref="O32:O35" si="6">J32+K32+L32+M32+N32</f>
        <v>184561.76</v>
      </c>
      <c r="P32" s="469"/>
    </row>
    <row r="33" spans="1:17" ht="163.5" customHeight="1" x14ac:dyDescent="0.2">
      <c r="A33" s="389"/>
      <c r="B33" s="125" t="s">
        <v>140</v>
      </c>
      <c r="C33" s="101" t="s">
        <v>56</v>
      </c>
      <c r="D33" s="74" t="s">
        <v>74</v>
      </c>
      <c r="E33" s="74" t="s">
        <v>27</v>
      </c>
      <c r="F33" s="75" t="s">
        <v>77</v>
      </c>
      <c r="G33" s="77">
        <v>1</v>
      </c>
      <c r="H33" s="74" t="s">
        <v>261</v>
      </c>
      <c r="I33" s="74" t="s">
        <v>78</v>
      </c>
      <c r="J33" s="78">
        <v>1091.73</v>
      </c>
      <c r="K33" s="78">
        <f>591.35+317.56+165.41</f>
        <v>1074.3200000000002</v>
      </c>
      <c r="L33" s="78">
        <f>85.45</f>
        <v>85.45</v>
      </c>
      <c r="M33" s="78"/>
      <c r="N33" s="78"/>
      <c r="O33" s="78">
        <f t="shared" si="6"/>
        <v>2251.5</v>
      </c>
      <c r="P33" s="421"/>
    </row>
    <row r="34" spans="1:17" ht="81.75" customHeight="1" x14ac:dyDescent="0.2">
      <c r="A34" s="2" t="s">
        <v>72</v>
      </c>
      <c r="B34" s="4" t="s">
        <v>130</v>
      </c>
      <c r="C34" s="3" t="s">
        <v>56</v>
      </c>
      <c r="D34" s="2" t="s">
        <v>74</v>
      </c>
      <c r="E34" s="2" t="s">
        <v>27</v>
      </c>
      <c r="F34" s="29" t="s">
        <v>77</v>
      </c>
      <c r="G34" s="27">
        <v>1</v>
      </c>
      <c r="H34" s="30" t="s">
        <v>255</v>
      </c>
      <c r="I34" s="2" t="s">
        <v>80</v>
      </c>
      <c r="J34" s="78">
        <v>12000</v>
      </c>
      <c r="K34" s="78">
        <v>0</v>
      </c>
      <c r="L34" s="78">
        <v>0</v>
      </c>
      <c r="M34" s="78"/>
      <c r="N34" s="78"/>
      <c r="O34" s="78">
        <f t="shared" si="6"/>
        <v>12000</v>
      </c>
      <c r="P34" s="4" t="s">
        <v>131</v>
      </c>
    </row>
    <row r="35" spans="1:17" ht="130.5" customHeight="1" x14ac:dyDescent="0.2">
      <c r="A35" s="2" t="s">
        <v>73</v>
      </c>
      <c r="B35" s="190" t="s">
        <v>176</v>
      </c>
      <c r="C35" s="3" t="s">
        <v>56</v>
      </c>
      <c r="D35" s="184" t="s">
        <v>74</v>
      </c>
      <c r="E35" s="184" t="s">
        <v>27</v>
      </c>
      <c r="F35" s="29" t="s">
        <v>77</v>
      </c>
      <c r="G35" s="27">
        <v>1</v>
      </c>
      <c r="H35" s="30" t="s">
        <v>263</v>
      </c>
      <c r="I35" s="184" t="s">
        <v>78</v>
      </c>
      <c r="J35" s="153">
        <v>2593.52</v>
      </c>
      <c r="K35" s="153"/>
      <c r="L35" s="153"/>
      <c r="M35" s="153"/>
      <c r="N35" s="153"/>
      <c r="O35" s="78">
        <f t="shared" si="6"/>
        <v>2593.52</v>
      </c>
      <c r="P35" s="4"/>
    </row>
    <row r="36" spans="1:17" ht="32.25" customHeight="1" x14ac:dyDescent="0.2">
      <c r="A36" s="62"/>
      <c r="B36" s="63" t="s">
        <v>18</v>
      </c>
      <c r="C36" s="64"/>
      <c r="D36" s="63"/>
      <c r="E36" s="63"/>
      <c r="F36" s="65"/>
      <c r="G36" s="66"/>
      <c r="H36" s="67"/>
      <c r="I36" s="63"/>
      <c r="J36" s="80">
        <f t="shared" ref="J36:O36" si="7">SUM(J31:J35)</f>
        <v>2195929.4299999997</v>
      </c>
      <c r="K36" s="80">
        <f t="shared" si="7"/>
        <v>2274926.5199999996</v>
      </c>
      <c r="L36" s="80">
        <f t="shared" si="7"/>
        <v>2289700.5299999998</v>
      </c>
      <c r="M36" s="80">
        <f t="shared" si="7"/>
        <v>2282245.77</v>
      </c>
      <c r="N36" s="80">
        <f t="shared" si="7"/>
        <v>2282245.77</v>
      </c>
      <c r="O36" s="80">
        <f t="shared" si="7"/>
        <v>11325048.019999998</v>
      </c>
      <c r="P36" s="64"/>
      <c r="Q36" s="22"/>
    </row>
    <row r="37" spans="1:17" ht="36" customHeight="1" x14ac:dyDescent="0.2">
      <c r="A37" s="44"/>
      <c r="B37" s="45" t="s">
        <v>97</v>
      </c>
      <c r="C37" s="45"/>
      <c r="D37" s="45"/>
      <c r="E37" s="45"/>
      <c r="F37" s="46"/>
      <c r="G37" s="47"/>
      <c r="H37" s="48"/>
      <c r="I37" s="45"/>
      <c r="J37" s="82">
        <f>J29+J36</f>
        <v>9957712.4564199988</v>
      </c>
      <c r="K37" s="82">
        <f>K29+K36</f>
        <v>10484619.77</v>
      </c>
      <c r="L37" s="82">
        <f>L29+L36</f>
        <v>9854919.2000000011</v>
      </c>
      <c r="M37" s="82">
        <f>M29+M36</f>
        <v>9743334.1699999999</v>
      </c>
      <c r="N37" s="82">
        <f>N29+N36</f>
        <v>9740834.1699999999</v>
      </c>
      <c r="O37" s="82">
        <f>J37+K37+L37+M37+N37</f>
        <v>49781419.766420007</v>
      </c>
      <c r="P37" s="45"/>
      <c r="Q37" s="22"/>
    </row>
    <row r="38" spans="1:17" x14ac:dyDescent="0.2">
      <c r="A38" s="167"/>
      <c r="B38" s="172" t="s">
        <v>25</v>
      </c>
      <c r="C38" s="172"/>
      <c r="D38" s="172"/>
      <c r="E38" s="172"/>
      <c r="F38" s="29"/>
      <c r="G38" s="165"/>
      <c r="H38" s="166"/>
      <c r="I38" s="172"/>
      <c r="J38" s="78"/>
      <c r="K38" s="78"/>
      <c r="L38" s="78"/>
      <c r="M38" s="78"/>
      <c r="N38" s="78"/>
      <c r="O38" s="82">
        <f t="shared" ref="O38:O40" si="8">J38+K38+L38+M38+N38</f>
        <v>0</v>
      </c>
      <c r="P38" s="172"/>
    </row>
    <row r="39" spans="1:17" ht="20.25" customHeight="1" x14ac:dyDescent="0.2">
      <c r="A39" s="173"/>
      <c r="B39" s="176" t="s">
        <v>169</v>
      </c>
      <c r="C39" s="176"/>
      <c r="D39" s="176"/>
      <c r="E39" s="176"/>
      <c r="F39" s="29"/>
      <c r="G39" s="174"/>
      <c r="H39" s="175"/>
      <c r="I39" s="176"/>
      <c r="J39" s="78"/>
      <c r="K39" s="78">
        <v>3000</v>
      </c>
      <c r="L39" s="78">
        <f>L23</f>
        <v>2200</v>
      </c>
      <c r="M39" s="78">
        <f t="shared" ref="M39:N39" si="9">M23</f>
        <v>2500</v>
      </c>
      <c r="N39" s="78">
        <f t="shared" si="9"/>
        <v>0</v>
      </c>
      <c r="O39" s="82">
        <f t="shared" si="8"/>
        <v>7700</v>
      </c>
      <c r="P39" s="176"/>
    </row>
    <row r="40" spans="1:17" ht="20.25" customHeight="1" x14ac:dyDescent="0.2">
      <c r="A40" s="167"/>
      <c r="B40" s="61" t="s">
        <v>170</v>
      </c>
      <c r="C40" s="172"/>
      <c r="D40" s="172"/>
      <c r="E40" s="172"/>
      <c r="F40" s="29"/>
      <c r="G40" s="165"/>
      <c r="H40" s="166"/>
      <c r="I40" s="172"/>
      <c r="J40" s="78">
        <v>314531.21000000002</v>
      </c>
      <c r="K40" s="78">
        <f>K32+K14+K22+K15</f>
        <v>329979.43</v>
      </c>
      <c r="L40" s="78">
        <f>L22+L14+L15+L32+L18+L19</f>
        <v>93425.03</v>
      </c>
      <c r="M40" s="78"/>
      <c r="N40" s="78"/>
      <c r="O40" s="82">
        <f t="shared" si="8"/>
        <v>737935.67</v>
      </c>
      <c r="P40" s="172"/>
    </row>
    <row r="41" spans="1:17" ht="23.25" customHeight="1" x14ac:dyDescent="0.2">
      <c r="A41" s="167"/>
      <c r="B41" s="172" t="s">
        <v>171</v>
      </c>
      <c r="C41" s="172"/>
      <c r="D41" s="172"/>
      <c r="E41" s="172"/>
      <c r="F41" s="29"/>
      <c r="G41" s="165"/>
      <c r="H41" s="166"/>
      <c r="I41" s="172"/>
      <c r="J41" s="78">
        <f>J29+J36-J40</f>
        <v>9643181.2464199979</v>
      </c>
      <c r="K41" s="78">
        <f>K29+K36-K39-K40</f>
        <v>10151640.34</v>
      </c>
      <c r="L41" s="78">
        <f>L29+L36-L39-L40</f>
        <v>9759294.1700000018</v>
      </c>
      <c r="M41" s="78">
        <f>M29+M36-M39</f>
        <v>9740834.1699999999</v>
      </c>
      <c r="N41" s="78">
        <f>N29+N36-N39</f>
        <v>9740834.1699999999</v>
      </c>
      <c r="O41" s="78">
        <f>SUM(J41:N41)</f>
        <v>49035784.096420005</v>
      </c>
      <c r="P41" s="172"/>
      <c r="Q41" s="22"/>
    </row>
    <row r="42" spans="1:17" ht="46.5" customHeight="1" x14ac:dyDescent="0.2">
      <c r="A42" s="3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81"/>
    </row>
    <row r="43" spans="1:17" x14ac:dyDescent="0.2">
      <c r="A43" s="32"/>
      <c r="B43" s="9"/>
      <c r="C43" s="9"/>
      <c r="D43" s="9"/>
      <c r="E43" s="9"/>
      <c r="F43" s="32"/>
      <c r="G43" s="33"/>
      <c r="H43" s="33"/>
      <c r="I43" s="9"/>
      <c r="J43" s="13"/>
      <c r="K43" s="13"/>
      <c r="L43" s="13"/>
      <c r="M43" s="13"/>
      <c r="N43" s="13"/>
      <c r="O43" s="13"/>
      <c r="P43" s="9"/>
      <c r="Q43" s="22"/>
    </row>
    <row r="44" spans="1:17" s="25" customFormat="1" ht="35.25" customHeight="1" x14ac:dyDescent="0.2">
      <c r="A44" s="468"/>
      <c r="B44" s="468"/>
      <c r="C44" s="468"/>
      <c r="D44" s="468"/>
      <c r="E44" s="468"/>
      <c r="F44" s="468"/>
      <c r="G44" s="468"/>
      <c r="H44" s="468"/>
      <c r="I44" s="468"/>
      <c r="J44" s="24"/>
      <c r="K44" s="24"/>
      <c r="L44" s="24"/>
      <c r="M44" s="24"/>
      <c r="N44" s="24"/>
      <c r="O44" s="24"/>
    </row>
    <row r="47" spans="1:17" x14ac:dyDescent="0.2">
      <c r="J47" s="22"/>
      <c r="K47" s="22"/>
      <c r="L47" s="22"/>
      <c r="M47" s="22"/>
      <c r="N47" s="22"/>
      <c r="O47" s="22"/>
    </row>
    <row r="48" spans="1:17" x14ac:dyDescent="0.2">
      <c r="J48" s="22"/>
      <c r="K48" s="22"/>
      <c r="L48" s="22"/>
      <c r="M48" s="22"/>
      <c r="N48" s="22"/>
      <c r="O48" s="22"/>
      <c r="Q48" s="22"/>
    </row>
  </sheetData>
  <mergeCells count="21">
    <mergeCell ref="O1:P1"/>
    <mergeCell ref="O2:P2"/>
    <mergeCell ref="A3:O3"/>
    <mergeCell ref="E2:G2"/>
    <mergeCell ref="A9:A16"/>
    <mergeCell ref="P9:P16"/>
    <mergeCell ref="B9:B13"/>
    <mergeCell ref="A44:I44"/>
    <mergeCell ref="F6:H6"/>
    <mergeCell ref="P31:P33"/>
    <mergeCell ref="A31:A33"/>
    <mergeCell ref="B30:O30"/>
    <mergeCell ref="B7:O7"/>
    <mergeCell ref="B8:O8"/>
    <mergeCell ref="A5:A6"/>
    <mergeCell ref="B5:B6"/>
    <mergeCell ref="C5:C6"/>
    <mergeCell ref="D5:I5"/>
    <mergeCell ref="J5:O5"/>
    <mergeCell ref="P5:P6"/>
    <mergeCell ref="B14:B1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60" fitToHeight="17" orientation="landscape" r:id="rId1"/>
  <headerFooter alignWithMargins="0"/>
  <rowBreaks count="3" manualBreakCount="3">
    <brk id="19" max="14" man="1"/>
    <brk id="31" max="14" man="1"/>
    <brk id="4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S62"/>
  <sheetViews>
    <sheetView view="pageBreakPreview" zoomScale="58" zoomScaleSheetLayoutView="58" workbookViewId="0">
      <selection activeCell="M1" sqref="M1:P1"/>
    </sheetView>
  </sheetViews>
  <sheetFormatPr defaultColWidth="9.140625" defaultRowHeight="15.75" x14ac:dyDescent="0.2"/>
  <cols>
    <col min="1" max="1" width="7.7109375" style="26" customWidth="1"/>
    <col min="2" max="2" width="32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85546875" style="23" customWidth="1"/>
    <col min="9" max="9" width="11.42578125" style="23" customWidth="1"/>
    <col min="10" max="10" width="19.7109375" style="23" customWidth="1"/>
    <col min="11" max="11" width="20.42578125" style="23" customWidth="1"/>
    <col min="12" max="13" width="17.7109375" style="23" customWidth="1"/>
    <col min="14" max="14" width="17.7109375" style="308" customWidth="1"/>
    <col min="15" max="15" width="20.85546875" style="23" customWidth="1"/>
    <col min="16" max="16" width="26.28515625" style="23" customWidth="1"/>
    <col min="17" max="17" width="55.42578125" style="23" customWidth="1"/>
    <col min="18" max="16384" width="9.140625" style="23"/>
  </cols>
  <sheetData>
    <row r="1" spans="1:18" s="193" customFormat="1" ht="60" customHeight="1" x14ac:dyDescent="0.2">
      <c r="A1" s="26"/>
      <c r="M1" s="393" t="s">
        <v>295</v>
      </c>
      <c r="N1" s="393"/>
      <c r="O1" s="393"/>
      <c r="P1" s="393"/>
    </row>
    <row r="2" spans="1:18" ht="96.75" customHeight="1" x14ac:dyDescent="0.2">
      <c r="A2" s="40"/>
      <c r="B2" s="41"/>
      <c r="C2" s="41"/>
      <c r="D2" s="41"/>
      <c r="H2" s="41"/>
      <c r="I2" s="41"/>
      <c r="J2" s="41"/>
      <c r="K2" s="41"/>
      <c r="L2" s="180"/>
      <c r="M2" s="495" t="s">
        <v>174</v>
      </c>
      <c r="N2" s="495"/>
      <c r="O2" s="496"/>
      <c r="P2" s="496"/>
      <c r="Q2" s="1"/>
    </row>
    <row r="3" spans="1:18" ht="39" customHeight="1" x14ac:dyDescent="0.2">
      <c r="A3" s="497" t="s">
        <v>232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</row>
    <row r="4" spans="1:18" x14ac:dyDescent="0.2">
      <c r="E4" s="7"/>
      <c r="F4" s="6" t="s">
        <v>29</v>
      </c>
      <c r="G4" s="7">
        <v>4</v>
      </c>
      <c r="H4" s="7"/>
    </row>
    <row r="5" spans="1:18" ht="18" customHeight="1" x14ac:dyDescent="0.2">
      <c r="A5" s="419" t="s">
        <v>3</v>
      </c>
      <c r="B5" s="420" t="s">
        <v>292</v>
      </c>
      <c r="C5" s="387" t="s">
        <v>234</v>
      </c>
      <c r="D5" s="387" t="s">
        <v>4</v>
      </c>
      <c r="E5" s="387"/>
      <c r="F5" s="387"/>
      <c r="G5" s="387"/>
      <c r="H5" s="387"/>
      <c r="I5" s="387"/>
      <c r="J5" s="390" t="s">
        <v>229</v>
      </c>
      <c r="K5" s="391"/>
      <c r="L5" s="391"/>
      <c r="M5" s="391"/>
      <c r="N5" s="391"/>
      <c r="O5" s="392"/>
      <c r="P5" s="387" t="s">
        <v>5</v>
      </c>
    </row>
    <row r="6" spans="1:18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247</v>
      </c>
      <c r="O6" s="307" t="s">
        <v>248</v>
      </c>
      <c r="P6" s="387"/>
    </row>
    <row r="7" spans="1:18" x14ac:dyDescent="0.2">
      <c r="A7" s="2"/>
      <c r="B7" s="474" t="s">
        <v>226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18" ht="29.25" customHeight="1" x14ac:dyDescent="0.2">
      <c r="A8" s="68" t="s">
        <v>13</v>
      </c>
      <c r="B8" s="471" t="s">
        <v>55</v>
      </c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3"/>
      <c r="P8" s="70"/>
    </row>
    <row r="9" spans="1:18" ht="83.25" customHeight="1" x14ac:dyDescent="0.2">
      <c r="A9" s="388" t="s">
        <v>30</v>
      </c>
      <c r="B9" s="206" t="s">
        <v>112</v>
      </c>
      <c r="C9" s="4" t="s">
        <v>56</v>
      </c>
      <c r="D9" s="2" t="s">
        <v>74</v>
      </c>
      <c r="E9" s="2" t="s">
        <v>27</v>
      </c>
      <c r="F9" s="29" t="s">
        <v>77</v>
      </c>
      <c r="G9" s="27">
        <v>2</v>
      </c>
      <c r="H9" s="30" t="s">
        <v>252</v>
      </c>
      <c r="I9" s="2" t="s">
        <v>78</v>
      </c>
      <c r="J9" s="202">
        <f>24664296.64-816087.14-125691.96+75619+512753.06+295173.21</f>
        <v>24606062.809999999</v>
      </c>
      <c r="K9" s="133">
        <f>25936164.08+290489.08+3607.73-3357.02-275006.02-1138.65</f>
        <v>25950759.199999999</v>
      </c>
      <c r="L9" s="133">
        <f>26129689.11+1165534.79-1048.24</f>
        <v>27294175.66</v>
      </c>
      <c r="M9" s="133">
        <f>L9+1048.24</f>
        <v>27295223.899999999</v>
      </c>
      <c r="N9" s="133">
        <f>M9</f>
        <v>27295223.899999999</v>
      </c>
      <c r="O9" s="133">
        <f>SUM(J9:N9)</f>
        <v>132441445.47</v>
      </c>
      <c r="P9" s="196" t="s">
        <v>180</v>
      </c>
      <c r="Q9" s="205" t="s">
        <v>184</v>
      </c>
      <c r="R9" s="241" t="s">
        <v>187</v>
      </c>
    </row>
    <row r="10" spans="1:18" ht="133.5" customHeight="1" x14ac:dyDescent="0.2">
      <c r="A10" s="470"/>
      <c r="B10" s="125" t="s">
        <v>139</v>
      </c>
      <c r="C10" s="4" t="s">
        <v>56</v>
      </c>
      <c r="D10" s="2" t="s">
        <v>74</v>
      </c>
      <c r="E10" s="2" t="s">
        <v>27</v>
      </c>
      <c r="F10" s="29" t="s">
        <v>77</v>
      </c>
      <c r="G10" s="72" t="s">
        <v>16</v>
      </c>
      <c r="H10" s="30" t="s">
        <v>260</v>
      </c>
      <c r="I10" s="2" t="s">
        <v>78</v>
      </c>
      <c r="J10" s="202">
        <f>572887.62</f>
        <v>572887.62</v>
      </c>
      <c r="K10" s="202">
        <f>330694.5+335701.48+216301.39</f>
        <v>882697.37</v>
      </c>
      <c r="L10" s="133">
        <v>91639.52</v>
      </c>
      <c r="M10" s="133"/>
      <c r="N10" s="133"/>
      <c r="O10" s="133">
        <f t="shared" ref="O10:O15" si="0">SUM(J10:N10)</f>
        <v>1547224.51</v>
      </c>
      <c r="P10" s="490"/>
    </row>
    <row r="11" spans="1:18" ht="141.75" customHeight="1" x14ac:dyDescent="0.2">
      <c r="A11" s="470"/>
      <c r="B11" s="125" t="s">
        <v>140</v>
      </c>
      <c r="C11" s="99" t="s">
        <v>56</v>
      </c>
      <c r="D11" s="100" t="s">
        <v>74</v>
      </c>
      <c r="E11" s="30" t="s">
        <v>27</v>
      </c>
      <c r="F11" s="72" t="s">
        <v>77</v>
      </c>
      <c r="G11" s="72" t="s">
        <v>16</v>
      </c>
      <c r="H11" s="30" t="s">
        <v>261</v>
      </c>
      <c r="I11" s="30" t="s">
        <v>78</v>
      </c>
      <c r="J11" s="153">
        <f>8160.87</f>
        <v>8160.87</v>
      </c>
      <c r="K11" s="78">
        <f>4420.47+3357.02+1138.65</f>
        <v>8916.14</v>
      </c>
      <c r="L11" s="78">
        <f>1048.24</f>
        <v>1048.24</v>
      </c>
      <c r="M11" s="78"/>
      <c r="N11" s="78"/>
      <c r="O11" s="133">
        <f t="shared" si="0"/>
        <v>18125.25</v>
      </c>
      <c r="P11" s="490"/>
      <c r="Q11" s="23" t="s">
        <v>0</v>
      </c>
    </row>
    <row r="12" spans="1:18" ht="69" customHeight="1" x14ac:dyDescent="0.2">
      <c r="A12" s="470"/>
      <c r="B12" s="382" t="s">
        <v>141</v>
      </c>
      <c r="C12" s="99" t="s">
        <v>56</v>
      </c>
      <c r="D12" s="100" t="s">
        <v>74</v>
      </c>
      <c r="E12" s="30" t="s">
        <v>27</v>
      </c>
      <c r="F12" s="72" t="s">
        <v>77</v>
      </c>
      <c r="G12" s="72" t="s">
        <v>16</v>
      </c>
      <c r="H12" s="30" t="s">
        <v>267</v>
      </c>
      <c r="I12" s="30" t="s">
        <v>78</v>
      </c>
      <c r="J12" s="153">
        <f>125691.96+125691.96+92180</f>
        <v>343563.92000000004</v>
      </c>
      <c r="K12" s="78">
        <f>254815.6+73538</f>
        <v>328353.59999999998</v>
      </c>
      <c r="L12" s="78">
        <f>245369.47</f>
        <v>245369.47</v>
      </c>
      <c r="M12" s="78"/>
      <c r="N12" s="78"/>
      <c r="O12" s="133">
        <f t="shared" si="0"/>
        <v>917286.99</v>
      </c>
      <c r="P12" s="490"/>
      <c r="Q12" s="23" t="s">
        <v>193</v>
      </c>
    </row>
    <row r="13" spans="1:18" ht="78.75" customHeight="1" x14ac:dyDescent="0.2">
      <c r="A13" s="470"/>
      <c r="B13" s="135" t="s">
        <v>113</v>
      </c>
      <c r="C13" s="4" t="s">
        <v>56</v>
      </c>
      <c r="D13" s="104" t="s">
        <v>74</v>
      </c>
      <c r="E13" s="105" t="s">
        <v>27</v>
      </c>
      <c r="F13" s="106" t="s">
        <v>77</v>
      </c>
      <c r="G13" s="106" t="s">
        <v>16</v>
      </c>
      <c r="H13" s="105" t="s">
        <v>255</v>
      </c>
      <c r="I13" s="105" t="s">
        <v>80</v>
      </c>
      <c r="J13" s="153">
        <f>200000+300000+15000</f>
        <v>515000</v>
      </c>
      <c r="K13" s="78">
        <v>0</v>
      </c>
      <c r="L13" s="78">
        <v>0</v>
      </c>
      <c r="M13" s="78"/>
      <c r="N13" s="78"/>
      <c r="O13" s="133">
        <f t="shared" si="0"/>
        <v>515000</v>
      </c>
      <c r="P13" s="97"/>
      <c r="Q13" s="23" t="s">
        <v>0</v>
      </c>
    </row>
    <row r="14" spans="1:18" ht="122.25" customHeight="1" x14ac:dyDescent="0.2">
      <c r="A14" s="389"/>
      <c r="B14" s="98" t="s">
        <v>123</v>
      </c>
      <c r="C14" s="93" t="s">
        <v>56</v>
      </c>
      <c r="D14" s="104" t="s">
        <v>74</v>
      </c>
      <c r="E14" s="105" t="s">
        <v>27</v>
      </c>
      <c r="F14" s="106" t="s">
        <v>77</v>
      </c>
      <c r="G14" s="106" t="s">
        <v>16</v>
      </c>
      <c r="H14" s="105" t="s">
        <v>268</v>
      </c>
      <c r="I14" s="105" t="s">
        <v>80</v>
      </c>
      <c r="J14" s="153">
        <v>0</v>
      </c>
      <c r="K14" s="78"/>
      <c r="L14" s="78"/>
      <c r="M14" s="78"/>
      <c r="N14" s="78"/>
      <c r="O14" s="133">
        <f t="shared" si="0"/>
        <v>0</v>
      </c>
      <c r="P14" s="94"/>
    </row>
    <row r="15" spans="1:18" ht="88.5" customHeight="1" x14ac:dyDescent="0.2">
      <c r="A15" s="388" t="s">
        <v>14</v>
      </c>
      <c r="B15" s="125" t="s">
        <v>111</v>
      </c>
      <c r="C15" s="4" t="s">
        <v>56</v>
      </c>
      <c r="D15" s="2" t="s">
        <v>74</v>
      </c>
      <c r="E15" s="2" t="s">
        <v>27</v>
      </c>
      <c r="F15" s="29" t="s">
        <v>77</v>
      </c>
      <c r="G15" s="72" t="s">
        <v>16</v>
      </c>
      <c r="H15" s="30" t="s">
        <v>252</v>
      </c>
      <c r="I15" s="2" t="s">
        <v>78</v>
      </c>
      <c r="J15" s="202">
        <f>4533475.22-81949.75+58744+44160.6+36969.65+373.44</f>
        <v>4591773.16</v>
      </c>
      <c r="K15" s="133">
        <f>4741057.86-49476.6-3607.73-272.19-51942.99-30</f>
        <v>4635728.3499999996</v>
      </c>
      <c r="L15" s="133">
        <f>4695549.65+92015.9-106.14</f>
        <v>4787459.4100000011</v>
      </c>
      <c r="M15" s="133">
        <f>L15+106.14</f>
        <v>4787565.5500000007</v>
      </c>
      <c r="N15" s="133">
        <f>M15</f>
        <v>4787565.5500000007</v>
      </c>
      <c r="O15" s="133">
        <f t="shared" si="0"/>
        <v>23590092.020000003</v>
      </c>
      <c r="P15" s="492" t="s">
        <v>85</v>
      </c>
      <c r="Q15" s="23" t="s">
        <v>191</v>
      </c>
    </row>
    <row r="16" spans="1:18" ht="138" customHeight="1" x14ac:dyDescent="0.2">
      <c r="A16" s="470"/>
      <c r="B16" s="125" t="s">
        <v>139</v>
      </c>
      <c r="C16" s="61" t="s">
        <v>56</v>
      </c>
      <c r="D16" s="74" t="s">
        <v>74</v>
      </c>
      <c r="E16" s="74" t="s">
        <v>27</v>
      </c>
      <c r="F16" s="75" t="s">
        <v>77</v>
      </c>
      <c r="G16" s="75" t="s">
        <v>16</v>
      </c>
      <c r="H16" s="74" t="s">
        <v>260</v>
      </c>
      <c r="I16" s="74" t="s">
        <v>78</v>
      </c>
      <c r="J16" s="202">
        <f>81130.25-36969.65</f>
        <v>44160.6</v>
      </c>
      <c r="K16" s="197">
        <f>27180.37+27219.04+13920.3</f>
        <v>68319.710000000006</v>
      </c>
      <c r="L16" s="133">
        <f>9262.08</f>
        <v>9262.08</v>
      </c>
      <c r="M16" s="133"/>
      <c r="N16" s="133"/>
      <c r="O16" s="78">
        <f>J16+K16+L16+M16+N16</f>
        <v>121742.39</v>
      </c>
      <c r="P16" s="493"/>
    </row>
    <row r="17" spans="1:17" ht="164.25" customHeight="1" x14ac:dyDescent="0.2">
      <c r="A17" s="470"/>
      <c r="B17" s="125" t="s">
        <v>140</v>
      </c>
      <c r="C17" s="61" t="s">
        <v>56</v>
      </c>
      <c r="D17" s="74" t="s">
        <v>74</v>
      </c>
      <c r="E17" s="74" t="s">
        <v>27</v>
      </c>
      <c r="F17" s="75" t="s">
        <v>77</v>
      </c>
      <c r="G17" s="75" t="s">
        <v>16</v>
      </c>
      <c r="H17" s="74" t="s">
        <v>261</v>
      </c>
      <c r="I17" s="74" t="s">
        <v>78</v>
      </c>
      <c r="J17" s="153">
        <f>446.06</f>
        <v>446.06</v>
      </c>
      <c r="K17" s="78">
        <f>443.89+272.19+30</f>
        <v>746.07999999999993</v>
      </c>
      <c r="L17" s="78">
        <f>106.14</f>
        <v>106.14</v>
      </c>
      <c r="M17" s="78"/>
      <c r="N17" s="78"/>
      <c r="O17" s="78">
        <f t="shared" ref="O17:O18" si="1">J17+K17+L17+M17</f>
        <v>1298.28</v>
      </c>
      <c r="P17" s="494"/>
    </row>
    <row r="18" spans="1:17" s="376" customFormat="1" ht="164.25" customHeight="1" x14ac:dyDescent="0.2">
      <c r="A18" s="470"/>
      <c r="B18" s="382" t="s">
        <v>141</v>
      </c>
      <c r="C18" s="61" t="s">
        <v>56</v>
      </c>
      <c r="D18" s="74" t="s">
        <v>74</v>
      </c>
      <c r="E18" s="74" t="s">
        <v>27</v>
      </c>
      <c r="F18" s="75" t="s">
        <v>77</v>
      </c>
      <c r="G18" s="75" t="s">
        <v>16</v>
      </c>
      <c r="H18" s="74" t="s">
        <v>267</v>
      </c>
      <c r="I18" s="74" t="s">
        <v>78</v>
      </c>
      <c r="J18" s="153"/>
      <c r="K18" s="78"/>
      <c r="L18" s="78">
        <v>30037.03</v>
      </c>
      <c r="M18" s="78"/>
      <c r="N18" s="78"/>
      <c r="O18" s="78">
        <f t="shared" si="1"/>
        <v>30037.03</v>
      </c>
      <c r="P18" s="386"/>
    </row>
    <row r="19" spans="1:17" ht="87.75" customHeight="1" x14ac:dyDescent="0.2">
      <c r="A19" s="389"/>
      <c r="B19" s="61" t="s">
        <v>113</v>
      </c>
      <c r="C19" s="61" t="s">
        <v>56</v>
      </c>
      <c r="D19" s="115" t="s">
        <v>74</v>
      </c>
      <c r="E19" s="116" t="s">
        <v>27</v>
      </c>
      <c r="F19" s="117" t="s">
        <v>77</v>
      </c>
      <c r="G19" s="117" t="s">
        <v>16</v>
      </c>
      <c r="H19" s="116" t="s">
        <v>255</v>
      </c>
      <c r="I19" s="116" t="s">
        <v>80</v>
      </c>
      <c r="J19" s="153">
        <v>7000</v>
      </c>
      <c r="K19" s="78">
        <v>0</v>
      </c>
      <c r="L19" s="78">
        <v>0</v>
      </c>
      <c r="M19" s="78"/>
      <c r="N19" s="78"/>
      <c r="O19" s="78">
        <f t="shared" ref="O19:O21" si="2">SUM(J19:M19)</f>
        <v>7000</v>
      </c>
      <c r="P19" s="113"/>
    </row>
    <row r="20" spans="1:17" ht="122.25" customHeight="1" x14ac:dyDescent="0.2">
      <c r="A20" s="2" t="s">
        <v>57</v>
      </c>
      <c r="B20" s="5" t="s">
        <v>58</v>
      </c>
      <c r="C20" s="4" t="s">
        <v>56</v>
      </c>
      <c r="D20" s="2"/>
      <c r="E20" s="2"/>
      <c r="F20" s="29"/>
      <c r="G20" s="72"/>
      <c r="H20" s="30"/>
      <c r="I20" s="2"/>
      <c r="J20" s="153"/>
      <c r="K20" s="78"/>
      <c r="L20" s="78"/>
      <c r="M20" s="78"/>
      <c r="N20" s="78"/>
      <c r="O20" s="78">
        <f t="shared" si="2"/>
        <v>0</v>
      </c>
      <c r="P20" s="34" t="s">
        <v>86</v>
      </c>
    </row>
    <row r="21" spans="1:17" ht="173.25" customHeight="1" x14ac:dyDescent="0.25">
      <c r="A21" s="145" t="s">
        <v>103</v>
      </c>
      <c r="B21" s="147" t="s">
        <v>154</v>
      </c>
      <c r="C21" s="186" t="s">
        <v>56</v>
      </c>
      <c r="D21" s="115" t="s">
        <v>74</v>
      </c>
      <c r="E21" s="116" t="s">
        <v>27</v>
      </c>
      <c r="F21" s="117" t="s">
        <v>77</v>
      </c>
      <c r="G21" s="117" t="s">
        <v>16</v>
      </c>
      <c r="H21" s="116" t="s">
        <v>269</v>
      </c>
      <c r="I21" s="116" t="s">
        <v>80</v>
      </c>
      <c r="J21" s="153">
        <v>6181600</v>
      </c>
      <c r="K21" s="78">
        <v>0</v>
      </c>
      <c r="L21" s="78">
        <v>0</v>
      </c>
      <c r="M21" s="78"/>
      <c r="N21" s="78"/>
      <c r="O21" s="78">
        <f t="shared" si="2"/>
        <v>6181600</v>
      </c>
      <c r="P21" s="34" t="s">
        <v>155</v>
      </c>
      <c r="Q21" s="23" t="s">
        <v>0</v>
      </c>
    </row>
    <row r="22" spans="1:17" s="183" customFormat="1" ht="44.25" customHeight="1" x14ac:dyDescent="0.2">
      <c r="A22" s="388" t="s">
        <v>161</v>
      </c>
      <c r="B22" s="504" t="s">
        <v>176</v>
      </c>
      <c r="C22" s="186" t="s">
        <v>56</v>
      </c>
      <c r="D22" s="115" t="s">
        <v>74</v>
      </c>
      <c r="E22" s="116" t="s">
        <v>27</v>
      </c>
      <c r="F22" s="117" t="s">
        <v>77</v>
      </c>
      <c r="G22" s="117" t="s">
        <v>16</v>
      </c>
      <c r="H22" s="115" t="s">
        <v>263</v>
      </c>
      <c r="I22" s="116" t="s">
        <v>78</v>
      </c>
      <c r="J22" s="153">
        <v>2920.72</v>
      </c>
      <c r="K22" s="78"/>
      <c r="L22" s="78"/>
      <c r="M22" s="78"/>
      <c r="N22" s="78"/>
      <c r="O22" s="78">
        <f>J22+K22+L22+M22</f>
        <v>2920.72</v>
      </c>
      <c r="P22" s="34"/>
    </row>
    <row r="23" spans="1:17" s="183" customFormat="1" ht="84.75" customHeight="1" x14ac:dyDescent="0.2">
      <c r="A23" s="389"/>
      <c r="B23" s="505"/>
      <c r="C23" s="186" t="s">
        <v>56</v>
      </c>
      <c r="D23" s="115" t="s">
        <v>74</v>
      </c>
      <c r="E23" s="116" t="s">
        <v>27</v>
      </c>
      <c r="F23" s="117" t="s">
        <v>77</v>
      </c>
      <c r="G23" s="117" t="s">
        <v>16</v>
      </c>
      <c r="H23" s="116" t="s">
        <v>263</v>
      </c>
      <c r="I23" s="116" t="s">
        <v>78</v>
      </c>
      <c r="J23" s="153">
        <v>42334.71</v>
      </c>
      <c r="K23" s="78"/>
      <c r="L23" s="78"/>
      <c r="M23" s="78"/>
      <c r="N23" s="78"/>
      <c r="O23" s="78">
        <f>J23+K23+L23+M23</f>
        <v>42334.71</v>
      </c>
      <c r="P23" s="34"/>
    </row>
    <row r="24" spans="1:17" ht="29.25" customHeight="1" x14ac:dyDescent="0.2">
      <c r="A24" s="49"/>
      <c r="B24" s="50" t="s">
        <v>15</v>
      </c>
      <c r="C24" s="51"/>
      <c r="D24" s="50"/>
      <c r="E24" s="50"/>
      <c r="F24" s="52"/>
      <c r="G24" s="53"/>
      <c r="H24" s="54"/>
      <c r="I24" s="50"/>
      <c r="J24" s="79">
        <f>SUM(J9:J23)</f>
        <v>36915910.470000006</v>
      </c>
      <c r="K24" s="79">
        <f>SUM(K9:K23)</f>
        <v>31875520.450000003</v>
      </c>
      <c r="L24" s="79">
        <f>SUM(L9:L21)</f>
        <v>32459097.549999997</v>
      </c>
      <c r="M24" s="79">
        <f>SUM(M9:M21)</f>
        <v>32082789.449999999</v>
      </c>
      <c r="N24" s="79">
        <f>SUM(N9:N21)</f>
        <v>32082789.449999999</v>
      </c>
      <c r="O24" s="79">
        <f>J24+K24+L24+M24+N24</f>
        <v>165416107.37</v>
      </c>
      <c r="P24" s="51"/>
      <c r="Q24" s="22"/>
    </row>
    <row r="25" spans="1:17" ht="27" customHeight="1" x14ac:dyDescent="0.2">
      <c r="A25" s="68" t="s">
        <v>16</v>
      </c>
      <c r="B25" s="471" t="s">
        <v>59</v>
      </c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  <c r="N25" s="472"/>
      <c r="O25" s="473"/>
      <c r="P25" s="71"/>
    </row>
    <row r="26" spans="1:17" ht="44.25" customHeight="1" x14ac:dyDescent="0.25">
      <c r="A26" s="388" t="s">
        <v>17</v>
      </c>
      <c r="B26" s="477" t="s">
        <v>124</v>
      </c>
      <c r="C26" s="5" t="s">
        <v>56</v>
      </c>
      <c r="D26" s="73" t="s">
        <v>74</v>
      </c>
      <c r="E26" s="74" t="s">
        <v>27</v>
      </c>
      <c r="F26" s="75" t="s">
        <v>77</v>
      </c>
      <c r="G26" s="75" t="s">
        <v>16</v>
      </c>
      <c r="H26" s="42" t="s">
        <v>270</v>
      </c>
      <c r="I26" s="86" t="s">
        <v>80</v>
      </c>
      <c r="J26" s="203">
        <f>12000</f>
        <v>12000</v>
      </c>
      <c r="K26" s="144">
        <v>0</v>
      </c>
      <c r="L26" s="144">
        <v>0</v>
      </c>
      <c r="M26" s="144"/>
      <c r="N26" s="144"/>
      <c r="O26" s="144">
        <f t="shared" ref="O26:O33" si="3">SUM(J26:M26)</f>
        <v>12000</v>
      </c>
      <c r="P26" s="489" t="s">
        <v>87</v>
      </c>
      <c r="Q26" s="35" t="s">
        <v>0</v>
      </c>
    </row>
    <row r="27" spans="1:17" ht="44.25" customHeight="1" x14ac:dyDescent="0.25">
      <c r="A27" s="470"/>
      <c r="B27" s="500"/>
      <c r="C27" s="138" t="s">
        <v>56</v>
      </c>
      <c r="D27" s="73" t="s">
        <v>74</v>
      </c>
      <c r="E27" s="74" t="s">
        <v>27</v>
      </c>
      <c r="F27" s="75" t="s">
        <v>77</v>
      </c>
      <c r="G27" s="75" t="s">
        <v>16</v>
      </c>
      <c r="H27" s="42" t="s">
        <v>270</v>
      </c>
      <c r="I27" s="139" t="s">
        <v>80</v>
      </c>
      <c r="J27" s="203">
        <f>3400</f>
        <v>3400</v>
      </c>
      <c r="K27" s="144">
        <v>0</v>
      </c>
      <c r="L27" s="144">
        <v>0</v>
      </c>
      <c r="M27" s="144"/>
      <c r="N27" s="144"/>
      <c r="O27" s="144">
        <f t="shared" si="3"/>
        <v>3400</v>
      </c>
      <c r="P27" s="490"/>
      <c r="Q27" s="35" t="s">
        <v>149</v>
      </c>
    </row>
    <row r="28" spans="1:17" ht="37.5" customHeight="1" x14ac:dyDescent="0.25">
      <c r="A28" s="389"/>
      <c r="B28" s="478"/>
      <c r="C28" s="137" t="s">
        <v>56</v>
      </c>
      <c r="D28" s="73" t="s">
        <v>74</v>
      </c>
      <c r="E28" s="74" t="s">
        <v>75</v>
      </c>
      <c r="F28" s="75" t="s">
        <v>77</v>
      </c>
      <c r="G28" s="75" t="s">
        <v>16</v>
      </c>
      <c r="H28" s="42" t="s">
        <v>270</v>
      </c>
      <c r="I28" s="136" t="s">
        <v>80</v>
      </c>
      <c r="J28" s="203">
        <f>18200</f>
        <v>18200</v>
      </c>
      <c r="K28" s="144"/>
      <c r="L28" s="144"/>
      <c r="M28" s="144"/>
      <c r="N28" s="144"/>
      <c r="O28" s="144">
        <f t="shared" si="3"/>
        <v>18200</v>
      </c>
      <c r="P28" s="491"/>
      <c r="Q28" s="36" t="s">
        <v>104</v>
      </c>
    </row>
    <row r="29" spans="1:17" ht="37.5" customHeight="1" x14ac:dyDescent="0.25">
      <c r="A29" s="388" t="s">
        <v>72</v>
      </c>
      <c r="B29" s="477" t="s">
        <v>152</v>
      </c>
      <c r="C29" s="140" t="s">
        <v>56</v>
      </c>
      <c r="D29" s="73" t="s">
        <v>74</v>
      </c>
      <c r="E29" s="74" t="s">
        <v>27</v>
      </c>
      <c r="F29" s="75" t="s">
        <v>77</v>
      </c>
      <c r="G29" s="75" t="s">
        <v>16</v>
      </c>
      <c r="H29" s="42" t="s">
        <v>271</v>
      </c>
      <c r="I29" s="141" t="s">
        <v>80</v>
      </c>
      <c r="J29" s="203">
        <f>1200000</f>
        <v>1200000</v>
      </c>
      <c r="K29" s="144">
        <v>200000</v>
      </c>
      <c r="L29" s="144">
        <v>350000</v>
      </c>
      <c r="M29" s="144"/>
      <c r="N29" s="144"/>
      <c r="O29" s="144">
        <f t="shared" si="3"/>
        <v>1750000</v>
      </c>
      <c r="P29" s="489" t="s">
        <v>87</v>
      </c>
      <c r="Q29" s="36" t="s">
        <v>216</v>
      </c>
    </row>
    <row r="30" spans="1:17" ht="37.5" customHeight="1" x14ac:dyDescent="0.25">
      <c r="A30" s="470"/>
      <c r="B30" s="500"/>
      <c r="C30" s="140" t="s">
        <v>56</v>
      </c>
      <c r="D30" s="73" t="s">
        <v>74</v>
      </c>
      <c r="E30" s="74" t="s">
        <v>27</v>
      </c>
      <c r="F30" s="75" t="s">
        <v>77</v>
      </c>
      <c r="G30" s="75" t="s">
        <v>16</v>
      </c>
      <c r="H30" s="42" t="s">
        <v>271</v>
      </c>
      <c r="I30" s="141" t="s">
        <v>80</v>
      </c>
      <c r="J30" s="203">
        <f>340000</f>
        <v>340000</v>
      </c>
      <c r="K30" s="144">
        <v>0</v>
      </c>
      <c r="L30" s="144">
        <v>0</v>
      </c>
      <c r="M30" s="144"/>
      <c r="N30" s="144"/>
      <c r="O30" s="144">
        <f t="shared" si="3"/>
        <v>340000</v>
      </c>
      <c r="P30" s="490"/>
      <c r="Q30" s="36"/>
    </row>
    <row r="31" spans="1:17" ht="54.75" customHeight="1" x14ac:dyDescent="0.25">
      <c r="A31" s="470"/>
      <c r="B31" s="500"/>
      <c r="C31" s="356" t="s">
        <v>56</v>
      </c>
      <c r="D31" s="73" t="s">
        <v>74</v>
      </c>
      <c r="E31" s="74" t="s">
        <v>75</v>
      </c>
      <c r="F31" s="75" t="s">
        <v>77</v>
      </c>
      <c r="G31" s="75" t="s">
        <v>16</v>
      </c>
      <c r="H31" s="42" t="s">
        <v>271</v>
      </c>
      <c r="I31" s="141" t="s">
        <v>80</v>
      </c>
      <c r="J31" s="203">
        <f>320000</f>
        <v>320000</v>
      </c>
      <c r="K31" s="144"/>
      <c r="L31" s="144">
        <f>200000</f>
        <v>200000</v>
      </c>
      <c r="M31" s="144"/>
      <c r="N31" s="144"/>
      <c r="O31" s="144">
        <f t="shared" si="3"/>
        <v>520000</v>
      </c>
      <c r="P31" s="491"/>
      <c r="Q31" s="36"/>
    </row>
    <row r="32" spans="1:17" s="350" customFormat="1" ht="65.25" customHeight="1" x14ac:dyDescent="0.25">
      <c r="A32" s="389"/>
      <c r="B32" s="478"/>
      <c r="C32" s="356" t="s">
        <v>56</v>
      </c>
      <c r="D32" s="73" t="s">
        <v>74</v>
      </c>
      <c r="E32" s="74" t="s">
        <v>27</v>
      </c>
      <c r="F32" s="75" t="s">
        <v>77</v>
      </c>
      <c r="G32" s="75" t="s">
        <v>16</v>
      </c>
      <c r="H32" s="42" t="s">
        <v>271</v>
      </c>
      <c r="I32" s="355" t="s">
        <v>28</v>
      </c>
      <c r="J32" s="203"/>
      <c r="K32" s="144"/>
      <c r="L32" s="144">
        <v>208000</v>
      </c>
      <c r="M32" s="144"/>
      <c r="N32" s="144"/>
      <c r="O32" s="144">
        <f t="shared" si="3"/>
        <v>208000</v>
      </c>
      <c r="P32" s="357"/>
      <c r="Q32" s="36"/>
    </row>
    <row r="33" spans="1:19" s="284" customFormat="1" ht="98.25" customHeight="1" x14ac:dyDescent="0.25">
      <c r="A33" s="388" t="s">
        <v>73</v>
      </c>
      <c r="B33" s="501" t="s">
        <v>217</v>
      </c>
      <c r="C33" s="361" t="s">
        <v>56</v>
      </c>
      <c r="D33" s="362" t="s">
        <v>74</v>
      </c>
      <c r="E33" s="363" t="s">
        <v>27</v>
      </c>
      <c r="F33" s="364" t="s">
        <v>77</v>
      </c>
      <c r="G33" s="364" t="s">
        <v>16</v>
      </c>
      <c r="H33" s="365" t="s">
        <v>270</v>
      </c>
      <c r="I33" s="366" t="s">
        <v>80</v>
      </c>
      <c r="J33" s="199"/>
      <c r="K33" s="199">
        <v>2000</v>
      </c>
      <c r="L33" s="199">
        <f>3500+2100+1600</f>
        <v>7200</v>
      </c>
      <c r="M33" s="199"/>
      <c r="N33" s="199"/>
      <c r="O33" s="199">
        <f t="shared" si="3"/>
        <v>9200</v>
      </c>
      <c r="P33" s="367"/>
      <c r="Q33" s="36" t="s">
        <v>218</v>
      </c>
    </row>
    <row r="34" spans="1:19" s="350" customFormat="1" ht="80.25" customHeight="1" x14ac:dyDescent="0.25">
      <c r="A34" s="470"/>
      <c r="B34" s="502"/>
      <c r="C34" s="368" t="s">
        <v>56</v>
      </c>
      <c r="D34" s="362" t="s">
        <v>74</v>
      </c>
      <c r="E34" s="363" t="s">
        <v>75</v>
      </c>
      <c r="F34" s="369" t="s">
        <v>77</v>
      </c>
      <c r="G34" s="364" t="s">
        <v>16</v>
      </c>
      <c r="H34" s="365" t="s">
        <v>270</v>
      </c>
      <c r="I34" s="366" t="s">
        <v>80</v>
      </c>
      <c r="J34" s="199"/>
      <c r="K34" s="199"/>
      <c r="L34" s="199">
        <f>2000+2100</f>
        <v>4100</v>
      </c>
      <c r="M34" s="199"/>
      <c r="N34" s="199"/>
      <c r="O34" s="199">
        <f>L34</f>
        <v>4100</v>
      </c>
      <c r="P34" s="367"/>
      <c r="Q34" s="36"/>
    </row>
    <row r="35" spans="1:19" s="349" customFormat="1" ht="90.75" customHeight="1" x14ac:dyDescent="0.25">
      <c r="A35" s="389"/>
      <c r="B35" s="503"/>
      <c r="C35" s="368" t="s">
        <v>56</v>
      </c>
      <c r="D35" s="370" t="s">
        <v>74</v>
      </c>
      <c r="E35" s="371" t="s">
        <v>27</v>
      </c>
      <c r="F35" s="371" t="s">
        <v>77</v>
      </c>
      <c r="G35" s="372" t="s">
        <v>16</v>
      </c>
      <c r="H35" s="373" t="s">
        <v>270</v>
      </c>
      <c r="I35" s="374" t="s">
        <v>28</v>
      </c>
      <c r="J35" s="368"/>
      <c r="K35" s="368"/>
      <c r="L35" s="368">
        <f>4206+94</f>
        <v>4300</v>
      </c>
      <c r="M35" s="368"/>
      <c r="N35" s="368"/>
      <c r="O35" s="368">
        <f>L35</f>
        <v>4300</v>
      </c>
      <c r="P35" s="367"/>
      <c r="Q35" s="36"/>
    </row>
    <row r="36" spans="1:19" ht="30.75" customHeight="1" x14ac:dyDescent="0.2">
      <c r="A36" s="49"/>
      <c r="B36" s="50" t="s">
        <v>18</v>
      </c>
      <c r="C36" s="51"/>
      <c r="D36" s="50"/>
      <c r="E36" s="50"/>
      <c r="F36" s="358"/>
      <c r="G36" s="359"/>
      <c r="H36" s="360"/>
      <c r="I36" s="50"/>
      <c r="J36" s="146">
        <f>SUM(J26:J31)</f>
        <v>1893600</v>
      </c>
      <c r="K36" s="146">
        <f>SUM(K26:K33)</f>
        <v>202000</v>
      </c>
      <c r="L36" s="146">
        <f>L29+L30+L31+L32+L33+L34+L35</f>
        <v>773600</v>
      </c>
      <c r="M36" s="146">
        <f>SUM(M26:M28)</f>
        <v>0</v>
      </c>
      <c r="N36" s="146">
        <f>SUM(N26:N28)</f>
        <v>0</v>
      </c>
      <c r="O36" s="146">
        <f>SUM(O26:O35)</f>
        <v>2869200</v>
      </c>
      <c r="P36" s="51"/>
      <c r="Q36" s="22"/>
    </row>
    <row r="37" spans="1:19" ht="30.75" customHeight="1" x14ac:dyDescent="0.2">
      <c r="A37" s="68" t="s">
        <v>19</v>
      </c>
      <c r="B37" s="471" t="s">
        <v>227</v>
      </c>
      <c r="C37" s="472"/>
      <c r="D37" s="472"/>
      <c r="E37" s="472"/>
      <c r="F37" s="472"/>
      <c r="G37" s="472"/>
      <c r="H37" s="472"/>
      <c r="I37" s="472"/>
      <c r="J37" s="472"/>
      <c r="K37" s="472"/>
      <c r="L37" s="472"/>
      <c r="M37" s="472"/>
      <c r="N37" s="472"/>
      <c r="O37" s="473"/>
      <c r="P37" s="71"/>
    </row>
    <row r="38" spans="1:19" ht="38.25" customHeight="1" x14ac:dyDescent="0.25">
      <c r="A38" s="470" t="s">
        <v>178</v>
      </c>
      <c r="B38" s="477" t="s">
        <v>60</v>
      </c>
      <c r="C38" s="157" t="s">
        <v>56</v>
      </c>
      <c r="D38" s="73" t="s">
        <v>74</v>
      </c>
      <c r="E38" s="74" t="s">
        <v>27</v>
      </c>
      <c r="F38" s="75" t="s">
        <v>77</v>
      </c>
      <c r="G38" s="75" t="s">
        <v>16</v>
      </c>
      <c r="H38" s="313" t="s">
        <v>256</v>
      </c>
      <c r="I38" s="311" t="s">
        <v>28</v>
      </c>
      <c r="J38" s="153">
        <v>2126280</v>
      </c>
      <c r="K38" s="78"/>
      <c r="L38" s="78"/>
      <c r="M38" s="78"/>
      <c r="N38" s="78"/>
      <c r="O38" s="78">
        <f>SUM(J38:M38)</f>
        <v>2126280</v>
      </c>
      <c r="P38" s="493"/>
      <c r="Q38" s="158"/>
      <c r="R38" s="159"/>
      <c r="S38" s="159"/>
    </row>
    <row r="39" spans="1:19" s="189" customFormat="1" ht="63.75" customHeight="1" x14ac:dyDescent="0.25">
      <c r="A39" s="470"/>
      <c r="B39" s="500"/>
      <c r="C39" s="188" t="s">
        <v>56</v>
      </c>
      <c r="D39" s="73" t="s">
        <v>74</v>
      </c>
      <c r="E39" s="74" t="s">
        <v>27</v>
      </c>
      <c r="F39" s="75" t="s">
        <v>77</v>
      </c>
      <c r="G39" s="75" t="s">
        <v>16</v>
      </c>
      <c r="H39" s="313" t="s">
        <v>256</v>
      </c>
      <c r="I39" s="311" t="s">
        <v>28</v>
      </c>
      <c r="J39" s="153">
        <v>662220</v>
      </c>
      <c r="K39" s="78">
        <f>345000+65100+10000</f>
        <v>420100</v>
      </c>
      <c r="L39" s="78">
        <f>75500+30000-250+30000+30000</f>
        <v>165250</v>
      </c>
      <c r="M39" s="78">
        <f>75500+30000-250</f>
        <v>105250</v>
      </c>
      <c r="N39" s="78">
        <f>75500+30000-250</f>
        <v>105250</v>
      </c>
      <c r="O39" s="78">
        <f>SUM(J39:N39)</f>
        <v>1458070</v>
      </c>
      <c r="P39" s="493"/>
      <c r="Q39" s="244" t="s">
        <v>190</v>
      </c>
      <c r="R39" s="191"/>
      <c r="S39" s="191"/>
    </row>
    <row r="40" spans="1:19" ht="38.25" customHeight="1" x14ac:dyDescent="0.25">
      <c r="A40" s="470"/>
      <c r="B40" s="500"/>
      <c r="C40" s="162" t="s">
        <v>56</v>
      </c>
      <c r="D40" s="161" t="s">
        <v>74</v>
      </c>
      <c r="E40" s="187" t="s">
        <v>75</v>
      </c>
      <c r="F40" s="29" t="s">
        <v>77</v>
      </c>
      <c r="G40" s="72" t="s">
        <v>16</v>
      </c>
      <c r="H40" s="313" t="s">
        <v>256</v>
      </c>
      <c r="I40" s="311" t="s">
        <v>80</v>
      </c>
      <c r="J40" s="153">
        <v>18500</v>
      </c>
      <c r="K40" s="78">
        <f>20000-2050</f>
        <v>17950</v>
      </c>
      <c r="L40" s="78">
        <f>20000-2000-2100</f>
        <v>15900</v>
      </c>
      <c r="M40" s="78">
        <v>20000</v>
      </c>
      <c r="N40" s="78">
        <v>20000</v>
      </c>
      <c r="O40" s="78">
        <f>SUM(J40:N40)</f>
        <v>92350</v>
      </c>
      <c r="P40" s="493"/>
      <c r="Q40" s="289" t="s">
        <v>214</v>
      </c>
      <c r="R40" s="163"/>
      <c r="S40" s="163"/>
    </row>
    <row r="41" spans="1:19" ht="52.5" customHeight="1" x14ac:dyDescent="0.25">
      <c r="A41" s="470"/>
      <c r="B41" s="500"/>
      <c r="C41" s="162" t="s">
        <v>56</v>
      </c>
      <c r="D41" s="73" t="s">
        <v>74</v>
      </c>
      <c r="E41" s="74" t="s">
        <v>27</v>
      </c>
      <c r="F41" s="75" t="s">
        <v>77</v>
      </c>
      <c r="G41" s="75" t="s">
        <v>16</v>
      </c>
      <c r="H41" s="313" t="s">
        <v>256</v>
      </c>
      <c r="I41" s="311" t="s">
        <v>80</v>
      </c>
      <c r="J41" s="153"/>
      <c r="K41" s="78">
        <f>537000+103000+110000+988454-80000-37559</f>
        <v>1620895</v>
      </c>
      <c r="L41" s="78">
        <f>537000+103000+110000-20000-3500+180000-1600-2100</f>
        <v>902800</v>
      </c>
      <c r="M41" s="78">
        <f>537000+103000+110000-20000</f>
        <v>730000</v>
      </c>
      <c r="N41" s="78">
        <f>537000+103000+110000-20000</f>
        <v>730000</v>
      </c>
      <c r="O41" s="78">
        <f>J41+K41+L41+M41+N41</f>
        <v>3983695</v>
      </c>
      <c r="P41" s="493"/>
      <c r="Q41" s="289" t="s">
        <v>215</v>
      </c>
      <c r="R41" s="163"/>
      <c r="S41" s="163"/>
    </row>
    <row r="42" spans="1:19" ht="38.25" hidden="1" customHeight="1" x14ac:dyDescent="0.25">
      <c r="A42" s="470"/>
      <c r="B42" s="500"/>
      <c r="C42" s="157" t="s">
        <v>163</v>
      </c>
      <c r="D42" s="156" t="s">
        <v>74</v>
      </c>
      <c r="E42" s="156" t="s">
        <v>27</v>
      </c>
      <c r="F42" s="29" t="s">
        <v>77</v>
      </c>
      <c r="G42" s="72" t="s">
        <v>16</v>
      </c>
      <c r="H42" s="30" t="s">
        <v>99</v>
      </c>
      <c r="I42" s="311" t="s">
        <v>80</v>
      </c>
      <c r="J42" s="153">
        <v>0</v>
      </c>
      <c r="K42" s="78">
        <f>15000+10000+20000+20000+10000+33000+10000+15000+869000+10000+20000+30000+16000+20000</f>
        <v>1098000</v>
      </c>
      <c r="L42" s="78">
        <f>15000+10000+20000+20000+10000+33000+10000+15000+869000+10000+20000+30000+16000+20000+200000</f>
        <v>1298000</v>
      </c>
      <c r="M42" s="78">
        <f>15000+10000+20000+20000+10000+33000+10000+15000+869000+10000+20000+30000+16000+20000+200000</f>
        <v>1298000</v>
      </c>
      <c r="N42" s="78"/>
      <c r="O42" s="78">
        <f t="shared" ref="O42" si="4">SUM(J42:M42)</f>
        <v>3694000</v>
      </c>
      <c r="P42" s="493"/>
      <c r="Q42" s="498"/>
      <c r="R42" s="499"/>
      <c r="S42" s="499"/>
    </row>
    <row r="43" spans="1:19" ht="24.75" hidden="1" customHeight="1" x14ac:dyDescent="0.25">
      <c r="A43" s="470"/>
      <c r="B43" s="500"/>
      <c r="C43" s="157" t="s">
        <v>166</v>
      </c>
      <c r="D43" s="73" t="s">
        <v>74</v>
      </c>
      <c r="E43" s="74" t="s">
        <v>27</v>
      </c>
      <c r="F43" s="75" t="s">
        <v>77</v>
      </c>
      <c r="G43" s="75" t="s">
        <v>16</v>
      </c>
      <c r="H43" s="313" t="s">
        <v>99</v>
      </c>
      <c r="I43" s="311" t="s">
        <v>80</v>
      </c>
      <c r="J43" s="153">
        <v>0</v>
      </c>
      <c r="K43" s="78">
        <v>110000</v>
      </c>
      <c r="L43" s="78">
        <v>110000</v>
      </c>
      <c r="M43" s="78">
        <v>110000</v>
      </c>
      <c r="N43" s="78"/>
      <c r="O43" s="78">
        <f t="shared" ref="O43:O48" si="5">SUM(J43:M43)</f>
        <v>330000</v>
      </c>
      <c r="P43" s="493"/>
      <c r="Q43" s="36"/>
    </row>
    <row r="44" spans="1:19" ht="24" hidden="1" customHeight="1" x14ac:dyDescent="0.25">
      <c r="A44" s="470"/>
      <c r="B44" s="500"/>
      <c r="C44" s="157" t="s">
        <v>164</v>
      </c>
      <c r="D44" s="73" t="s">
        <v>74</v>
      </c>
      <c r="E44" s="74" t="s">
        <v>27</v>
      </c>
      <c r="F44" s="75" t="s">
        <v>77</v>
      </c>
      <c r="G44" s="75" t="s">
        <v>16</v>
      </c>
      <c r="H44" s="313" t="s">
        <v>99</v>
      </c>
      <c r="I44" s="311" t="s">
        <v>80</v>
      </c>
      <c r="J44" s="153">
        <v>0</v>
      </c>
      <c r="K44" s="78">
        <f>60000+20000+28000+15000</f>
        <v>123000</v>
      </c>
      <c r="L44" s="78">
        <f t="shared" ref="L44:M44" si="6">60000+20000+28000+15000</f>
        <v>123000</v>
      </c>
      <c r="M44" s="78">
        <f t="shared" si="6"/>
        <v>123000</v>
      </c>
      <c r="N44" s="78"/>
      <c r="O44" s="78">
        <f t="shared" si="5"/>
        <v>369000</v>
      </c>
      <c r="P44" s="493"/>
      <c r="Q44" s="36"/>
    </row>
    <row r="45" spans="1:19" ht="24" hidden="1" customHeight="1" x14ac:dyDescent="0.25">
      <c r="A45" s="470"/>
      <c r="B45" s="500"/>
      <c r="C45" s="157" t="s">
        <v>165</v>
      </c>
      <c r="D45" s="73" t="s">
        <v>74</v>
      </c>
      <c r="E45" s="74" t="s">
        <v>27</v>
      </c>
      <c r="F45" s="75" t="s">
        <v>77</v>
      </c>
      <c r="G45" s="75" t="s">
        <v>16</v>
      </c>
      <c r="H45" s="313" t="s">
        <v>99</v>
      </c>
      <c r="I45" s="311" t="s">
        <v>80</v>
      </c>
      <c r="J45" s="153">
        <v>0</v>
      </c>
      <c r="K45" s="78">
        <f>10000+20000+15000</f>
        <v>45000</v>
      </c>
      <c r="L45" s="78">
        <f t="shared" ref="L45:M45" si="7">10000+20000+15000</f>
        <v>45000</v>
      </c>
      <c r="M45" s="78">
        <f t="shared" si="7"/>
        <v>45000</v>
      </c>
      <c r="N45" s="78"/>
      <c r="O45" s="78">
        <f t="shared" si="5"/>
        <v>135000</v>
      </c>
      <c r="P45" s="493"/>
      <c r="Q45" s="36"/>
    </row>
    <row r="46" spans="1:19" ht="36.75" hidden="1" customHeight="1" x14ac:dyDescent="0.25">
      <c r="A46" s="470"/>
      <c r="B46" s="478"/>
      <c r="C46" s="157" t="s">
        <v>167</v>
      </c>
      <c r="D46" s="73" t="s">
        <v>74</v>
      </c>
      <c r="E46" s="74" t="s">
        <v>75</v>
      </c>
      <c r="F46" s="75" t="s">
        <v>77</v>
      </c>
      <c r="G46" s="75" t="s">
        <v>16</v>
      </c>
      <c r="H46" s="313" t="s">
        <v>99</v>
      </c>
      <c r="I46" s="311" t="s">
        <v>80</v>
      </c>
      <c r="J46" s="153">
        <v>18500</v>
      </c>
      <c r="K46" s="78">
        <f>10000+10000</f>
        <v>20000</v>
      </c>
      <c r="L46" s="78">
        <f t="shared" ref="L46:M46" si="8">10000+10000</f>
        <v>20000</v>
      </c>
      <c r="M46" s="78">
        <f t="shared" si="8"/>
        <v>20000</v>
      </c>
      <c r="N46" s="78"/>
      <c r="O46" s="78">
        <f t="shared" si="5"/>
        <v>78500</v>
      </c>
      <c r="P46" s="493"/>
      <c r="Q46" s="36"/>
    </row>
    <row r="47" spans="1:19" ht="26.25" customHeight="1" x14ac:dyDescent="0.25">
      <c r="A47" s="388" t="s">
        <v>98</v>
      </c>
      <c r="B47" s="477" t="s">
        <v>114</v>
      </c>
      <c r="C47" s="5" t="s">
        <v>56</v>
      </c>
      <c r="D47" s="104" t="s">
        <v>74</v>
      </c>
      <c r="E47" s="105" t="s">
        <v>27</v>
      </c>
      <c r="F47" s="106" t="s">
        <v>77</v>
      </c>
      <c r="G47" s="106" t="s">
        <v>16</v>
      </c>
      <c r="H47" s="313" t="s">
        <v>255</v>
      </c>
      <c r="I47" s="311" t="s">
        <v>28</v>
      </c>
      <c r="J47" s="153">
        <f>300000-29040-15000-100000-33600</f>
        <v>122360</v>
      </c>
      <c r="K47" s="78">
        <v>0</v>
      </c>
      <c r="L47" s="78">
        <v>0</v>
      </c>
      <c r="M47" s="78"/>
      <c r="N47" s="78"/>
      <c r="O47" s="78">
        <f t="shared" si="5"/>
        <v>122360</v>
      </c>
      <c r="P47" s="96"/>
      <c r="Q47" s="36"/>
    </row>
    <row r="48" spans="1:19" ht="40.5" customHeight="1" x14ac:dyDescent="0.25">
      <c r="A48" s="389"/>
      <c r="B48" s="478"/>
      <c r="C48" s="5" t="s">
        <v>56</v>
      </c>
      <c r="D48" s="73"/>
      <c r="E48" s="74"/>
      <c r="F48" s="75"/>
      <c r="G48" s="75"/>
      <c r="H48" s="74"/>
      <c r="I48" s="2"/>
      <c r="J48" s="153"/>
      <c r="K48" s="78"/>
      <c r="L48" s="78">
        <v>0</v>
      </c>
      <c r="M48" s="78"/>
      <c r="N48" s="78"/>
      <c r="O48" s="78">
        <f t="shared" si="5"/>
        <v>0</v>
      </c>
      <c r="P48" s="97"/>
      <c r="Q48" s="36"/>
    </row>
    <row r="49" spans="1:17" ht="27" customHeight="1" x14ac:dyDescent="0.2">
      <c r="A49" s="49"/>
      <c r="B49" s="50" t="s">
        <v>21</v>
      </c>
      <c r="C49" s="51"/>
      <c r="D49" s="50"/>
      <c r="E49" s="50"/>
      <c r="F49" s="52"/>
      <c r="G49" s="53"/>
      <c r="H49" s="54"/>
      <c r="I49" s="50"/>
      <c r="J49" s="79">
        <f>J38+J39+J40+J41+J47</f>
        <v>2929360</v>
      </c>
      <c r="K49" s="79">
        <f>K39+K40+K41</f>
        <v>2058945</v>
      </c>
      <c r="L49" s="79">
        <f>L39+L40+L41</f>
        <v>1083950</v>
      </c>
      <c r="M49" s="79">
        <f>M39+M40+M41</f>
        <v>855250</v>
      </c>
      <c r="N49" s="79">
        <f>N39+N40+N41</f>
        <v>855250</v>
      </c>
      <c r="O49" s="79">
        <f>J49+K49+L49+M49+N49</f>
        <v>7782755</v>
      </c>
      <c r="P49" s="51"/>
      <c r="Q49" s="22"/>
    </row>
    <row r="50" spans="1:17" ht="33" customHeight="1" x14ac:dyDescent="0.2">
      <c r="A50" s="44"/>
      <c r="B50" s="45" t="s">
        <v>24</v>
      </c>
      <c r="C50" s="45"/>
      <c r="D50" s="45"/>
      <c r="E50" s="45"/>
      <c r="F50" s="46"/>
      <c r="G50" s="47"/>
      <c r="H50" s="48"/>
      <c r="I50" s="45"/>
      <c r="J50" s="82">
        <f t="shared" ref="J50:O50" si="9">J24+J36+J49</f>
        <v>41738870.470000006</v>
      </c>
      <c r="K50" s="82">
        <f t="shared" si="9"/>
        <v>34136465.450000003</v>
      </c>
      <c r="L50" s="82">
        <f t="shared" si="9"/>
        <v>34316647.549999997</v>
      </c>
      <c r="M50" s="82">
        <f t="shared" si="9"/>
        <v>32938039.449999999</v>
      </c>
      <c r="N50" s="82">
        <f t="shared" si="9"/>
        <v>32938039.449999999</v>
      </c>
      <c r="O50" s="82">
        <f t="shared" si="9"/>
        <v>176068062.37</v>
      </c>
      <c r="P50" s="45"/>
      <c r="Q50" s="22"/>
    </row>
    <row r="51" spans="1:17" x14ac:dyDescent="0.2">
      <c r="A51" s="167"/>
      <c r="B51" s="172" t="s">
        <v>25</v>
      </c>
      <c r="C51" s="172"/>
      <c r="D51" s="172"/>
      <c r="E51" s="172"/>
      <c r="F51" s="29"/>
      <c r="G51" s="165"/>
      <c r="H51" s="166"/>
      <c r="I51" s="172"/>
      <c r="J51" s="78"/>
      <c r="K51" s="78"/>
      <c r="L51" s="78"/>
      <c r="M51" s="78"/>
      <c r="N51" s="78"/>
      <c r="O51" s="78"/>
      <c r="P51" s="172"/>
    </row>
    <row r="52" spans="1:17" ht="22.5" customHeight="1" x14ac:dyDescent="0.2">
      <c r="A52" s="167"/>
      <c r="B52" s="172" t="s">
        <v>169</v>
      </c>
      <c r="C52" s="172"/>
      <c r="D52" s="172"/>
      <c r="E52" s="172"/>
      <c r="F52" s="29"/>
      <c r="G52" s="165"/>
      <c r="H52" s="166"/>
      <c r="I52" s="172"/>
      <c r="J52" s="78">
        <v>6181600</v>
      </c>
      <c r="K52" s="78"/>
      <c r="L52" s="78"/>
      <c r="M52" s="78"/>
      <c r="N52" s="78"/>
      <c r="O52" s="78">
        <f>SUM(J52:M52)</f>
        <v>6181600</v>
      </c>
      <c r="P52" s="172"/>
    </row>
    <row r="53" spans="1:17" ht="26.25" customHeight="1" x14ac:dyDescent="0.2">
      <c r="A53" s="167"/>
      <c r="B53" s="61" t="s">
        <v>170</v>
      </c>
      <c r="C53" s="172"/>
      <c r="D53" s="172"/>
      <c r="E53" s="172"/>
      <c r="F53" s="29"/>
      <c r="G53" s="165"/>
      <c r="H53" s="166"/>
      <c r="I53" s="172"/>
      <c r="J53" s="144">
        <f>556913.66+125691.96+1860000+197569.99</f>
        <v>2740175.6100000003</v>
      </c>
      <c r="K53" s="144">
        <f>K10+K16+K12+K29</f>
        <v>1479370.68</v>
      </c>
      <c r="L53" s="11">
        <f>L29+L31+L32+L10+L16+L12+L18</f>
        <v>1134308.1000000001</v>
      </c>
      <c r="M53" s="11"/>
      <c r="N53" s="11"/>
      <c r="O53" s="78">
        <f>SUM(J53:M53)</f>
        <v>5353854.3900000006</v>
      </c>
      <c r="P53" s="172"/>
    </row>
    <row r="54" spans="1:17" ht="30" customHeight="1" x14ac:dyDescent="0.2">
      <c r="A54" s="167"/>
      <c r="B54" s="172" t="s">
        <v>171</v>
      </c>
      <c r="C54" s="172"/>
      <c r="D54" s="172"/>
      <c r="E54" s="172"/>
      <c r="F54" s="29"/>
      <c r="G54" s="165"/>
      <c r="H54" s="166"/>
      <c r="I54" s="172"/>
      <c r="J54" s="78">
        <f>J50-J53-J52</f>
        <v>32817094.860000007</v>
      </c>
      <c r="K54" s="78">
        <f>K50-K53-K52</f>
        <v>32657094.770000003</v>
      </c>
      <c r="L54" s="78">
        <f>L50-L52-L53</f>
        <v>33182339.449999996</v>
      </c>
      <c r="M54" s="78">
        <f>M50</f>
        <v>32938039.449999999</v>
      </c>
      <c r="N54" s="78">
        <f>N50</f>
        <v>32938039.449999999</v>
      </c>
      <c r="O54" s="78">
        <f>SUM(J54:N54)</f>
        <v>164532607.98000002</v>
      </c>
      <c r="P54" s="172"/>
    </row>
    <row r="55" spans="1:17" ht="30" customHeight="1" x14ac:dyDescent="0.2">
      <c r="A55" s="3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7" x14ac:dyDescent="0.2">
      <c r="A56" s="3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22"/>
    </row>
    <row r="59" spans="1:17" s="25" customFormat="1" ht="31.5" customHeight="1" x14ac:dyDescent="0.2">
      <c r="A59" s="468"/>
      <c r="B59" s="468"/>
      <c r="C59" s="468"/>
      <c r="D59" s="468"/>
      <c r="E59" s="468"/>
      <c r="F59" s="468"/>
      <c r="G59" s="468"/>
      <c r="H59" s="468"/>
      <c r="I59" s="468"/>
      <c r="J59" s="24"/>
      <c r="K59" s="24"/>
      <c r="L59" s="24"/>
      <c r="M59" s="24"/>
      <c r="N59" s="24"/>
      <c r="O59" s="24"/>
    </row>
    <row r="61" spans="1:17" x14ac:dyDescent="0.2">
      <c r="J61" s="22"/>
      <c r="K61" s="22"/>
      <c r="L61" s="22"/>
      <c r="M61" s="22"/>
      <c r="N61" s="22"/>
      <c r="O61" s="22"/>
    </row>
    <row r="62" spans="1:17" x14ac:dyDescent="0.2">
      <c r="J62" s="22"/>
      <c r="K62" s="22"/>
      <c r="L62" s="22"/>
      <c r="M62" s="22"/>
      <c r="N62" s="22"/>
      <c r="O62" s="22"/>
      <c r="Q62" s="22"/>
    </row>
  </sheetData>
  <mergeCells count="35">
    <mergeCell ref="A33:A35"/>
    <mergeCell ref="B25:O25"/>
    <mergeCell ref="B33:B35"/>
    <mergeCell ref="P5:P6"/>
    <mergeCell ref="A59:I59"/>
    <mergeCell ref="A47:A48"/>
    <mergeCell ref="B47:B48"/>
    <mergeCell ref="P29:P31"/>
    <mergeCell ref="B22:B23"/>
    <mergeCell ref="A22:A23"/>
    <mergeCell ref="A26:A28"/>
    <mergeCell ref="B26:B28"/>
    <mergeCell ref="B29:B32"/>
    <mergeCell ref="A29:A32"/>
    <mergeCell ref="Q42:S42"/>
    <mergeCell ref="A38:A46"/>
    <mergeCell ref="B38:B46"/>
    <mergeCell ref="P38:P46"/>
    <mergeCell ref="B37:O37"/>
    <mergeCell ref="M1:P1"/>
    <mergeCell ref="P26:P28"/>
    <mergeCell ref="P15:P17"/>
    <mergeCell ref="A15:A19"/>
    <mergeCell ref="B7:O7"/>
    <mergeCell ref="B8:O8"/>
    <mergeCell ref="M2:P2"/>
    <mergeCell ref="A3:P3"/>
    <mergeCell ref="A5:A6"/>
    <mergeCell ref="B5:B6"/>
    <mergeCell ref="C5:C6"/>
    <mergeCell ref="D5:I5"/>
    <mergeCell ref="J5:O5"/>
    <mergeCell ref="A9:A14"/>
    <mergeCell ref="P10:P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9" fitToWidth="2" fitToHeight="3" orientation="landscape" r:id="rId1"/>
  <headerFooter alignWithMargins="0"/>
  <rowBreaks count="1" manualBreakCount="1">
    <brk id="2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70"/>
  <sheetViews>
    <sheetView view="pageBreakPreview" zoomScale="59" zoomScaleNormal="85" zoomScaleSheetLayoutView="59" workbookViewId="0">
      <selection activeCell="M1" sqref="M1:P1"/>
    </sheetView>
  </sheetViews>
  <sheetFormatPr defaultColWidth="9.140625" defaultRowHeight="15.75" outlineLevelRow="1" x14ac:dyDescent="0.2"/>
  <cols>
    <col min="1" max="1" width="7.7109375" style="26" customWidth="1"/>
    <col min="2" max="2" width="30.8554687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12.42578125" style="23" customWidth="1"/>
    <col min="9" max="9" width="9.140625" style="23"/>
    <col min="10" max="10" width="16.42578125" style="23" customWidth="1"/>
    <col min="11" max="11" width="17" style="23" customWidth="1"/>
    <col min="12" max="13" width="17.42578125" style="23" customWidth="1"/>
    <col min="14" max="14" width="17.42578125" style="308" customWidth="1"/>
    <col min="15" max="15" width="19" style="23" customWidth="1"/>
    <col min="16" max="16" width="26.28515625" style="23" customWidth="1"/>
    <col min="17" max="17" width="33.140625" style="23" customWidth="1"/>
    <col min="18" max="16384" width="9.140625" style="23"/>
  </cols>
  <sheetData>
    <row r="1" spans="1:20" ht="77.25" customHeight="1" x14ac:dyDescent="0.2">
      <c r="M1" s="393" t="s">
        <v>294</v>
      </c>
      <c r="N1" s="393"/>
      <c r="O1" s="393"/>
      <c r="P1" s="393"/>
    </row>
    <row r="2" spans="1:20" ht="96.75" customHeight="1" x14ac:dyDescent="0.2">
      <c r="L2" s="179"/>
      <c r="M2" s="479" t="s">
        <v>201</v>
      </c>
      <c r="N2" s="479"/>
      <c r="O2" s="508"/>
      <c r="P2" s="508"/>
      <c r="Q2" s="1"/>
    </row>
    <row r="3" spans="1:20" ht="39" customHeight="1" x14ac:dyDescent="0.2">
      <c r="A3" s="497" t="s">
        <v>233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</row>
    <row r="4" spans="1:20" x14ac:dyDescent="0.2">
      <c r="E4" s="7"/>
      <c r="F4" s="6" t="s">
        <v>29</v>
      </c>
      <c r="G4" s="7">
        <v>5</v>
      </c>
      <c r="H4" s="7"/>
      <c r="I4" s="7"/>
    </row>
    <row r="5" spans="1:20" ht="18" customHeight="1" x14ac:dyDescent="0.2">
      <c r="A5" s="419" t="s">
        <v>3</v>
      </c>
      <c r="B5" s="420" t="s">
        <v>292</v>
      </c>
      <c r="C5" s="387" t="s">
        <v>234</v>
      </c>
      <c r="D5" s="387" t="s">
        <v>4</v>
      </c>
      <c r="E5" s="387"/>
      <c r="F5" s="387"/>
      <c r="G5" s="387"/>
      <c r="H5" s="387"/>
      <c r="I5" s="387"/>
      <c r="J5" s="390" t="s">
        <v>230</v>
      </c>
      <c r="K5" s="391"/>
      <c r="L5" s="391"/>
      <c r="M5" s="391"/>
      <c r="N5" s="391"/>
      <c r="O5" s="392"/>
      <c r="P5" s="387" t="s">
        <v>5</v>
      </c>
    </row>
    <row r="6" spans="1:20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247</v>
      </c>
      <c r="O6" s="307" t="s">
        <v>249</v>
      </c>
      <c r="P6" s="387"/>
    </row>
    <row r="7" spans="1:20" x14ac:dyDescent="0.2">
      <c r="A7" s="2"/>
      <c r="B7" s="474" t="s">
        <v>228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20" ht="19.5" customHeight="1" x14ac:dyDescent="0.2">
      <c r="A8" s="55" t="s">
        <v>13</v>
      </c>
      <c r="B8" s="509" t="s">
        <v>32</v>
      </c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1"/>
      <c r="P8" s="56"/>
    </row>
    <row r="9" spans="1:20" ht="78.75" customHeight="1" x14ac:dyDescent="0.2">
      <c r="A9" s="388" t="s">
        <v>30</v>
      </c>
      <c r="B9" s="206" t="s">
        <v>125</v>
      </c>
      <c r="C9" s="186" t="s">
        <v>56</v>
      </c>
      <c r="D9" s="2" t="s">
        <v>74</v>
      </c>
      <c r="E9" s="2" t="s">
        <v>75</v>
      </c>
      <c r="F9" s="29" t="s">
        <v>77</v>
      </c>
      <c r="G9" s="27">
        <v>3</v>
      </c>
      <c r="H9" s="30" t="s">
        <v>252</v>
      </c>
      <c r="I9" s="2" t="s">
        <v>78</v>
      </c>
      <c r="J9" s="197">
        <f>8302599.58+430220</f>
        <v>8732819.5800000001</v>
      </c>
      <c r="K9" s="133">
        <f>9237753.86+160237.86+436912.6-646.73-112768.62-50.3</f>
        <v>9721438.6699999981</v>
      </c>
      <c r="L9" s="78">
        <f>9858916.43+260711.73+309600+63011.11-202.52</f>
        <v>10492036.75</v>
      </c>
      <c r="M9" s="133">
        <v>10119628.16</v>
      </c>
      <c r="N9" s="133">
        <f>M9</f>
        <v>10119628.16</v>
      </c>
      <c r="O9" s="133">
        <f>SUM(J9:N9)</f>
        <v>49185551.319999993</v>
      </c>
      <c r="P9" s="489" t="s">
        <v>88</v>
      </c>
      <c r="Q9" s="243" t="s">
        <v>189</v>
      </c>
    </row>
    <row r="10" spans="1:20" s="183" customFormat="1" ht="111.75" customHeight="1" x14ac:dyDescent="0.2">
      <c r="A10" s="470"/>
      <c r="B10" s="186" t="s">
        <v>176</v>
      </c>
      <c r="C10" s="186" t="s">
        <v>56</v>
      </c>
      <c r="D10" s="184" t="s">
        <v>74</v>
      </c>
      <c r="E10" s="30" t="s">
        <v>75</v>
      </c>
      <c r="F10" s="72" t="s">
        <v>77</v>
      </c>
      <c r="G10" s="185">
        <v>3</v>
      </c>
      <c r="H10" s="30" t="s">
        <v>263</v>
      </c>
      <c r="I10" s="30" t="s">
        <v>78</v>
      </c>
      <c r="J10" s="197">
        <v>13524.67</v>
      </c>
      <c r="K10" s="133"/>
      <c r="L10" s="133"/>
      <c r="M10" s="133"/>
      <c r="N10" s="133"/>
      <c r="O10" s="133">
        <f t="shared" ref="O10:O19" si="0">SUM(J10:N10)</f>
        <v>13524.67</v>
      </c>
      <c r="P10" s="490"/>
    </row>
    <row r="11" spans="1:20" ht="135" customHeight="1" x14ac:dyDescent="0.2">
      <c r="A11" s="470"/>
      <c r="B11" s="125" t="s">
        <v>139</v>
      </c>
      <c r="C11" s="4" t="s">
        <v>56</v>
      </c>
      <c r="D11" s="73" t="s">
        <v>74</v>
      </c>
      <c r="E11" s="74" t="s">
        <v>75</v>
      </c>
      <c r="F11" s="75" t="s">
        <v>77</v>
      </c>
      <c r="G11" s="77">
        <v>3</v>
      </c>
      <c r="H11" s="74" t="s">
        <v>260</v>
      </c>
      <c r="I11" s="74" t="s">
        <v>78</v>
      </c>
      <c r="J11" s="197">
        <f>316171.33+63431.05</f>
        <v>379602.38</v>
      </c>
      <c r="K11" s="202">
        <f>307252.05+64672.92-141460.39</f>
        <v>230464.57999999996</v>
      </c>
      <c r="L11" s="133">
        <v>17672.509999999998</v>
      </c>
      <c r="M11" s="133"/>
      <c r="N11" s="133"/>
      <c r="O11" s="133">
        <f t="shared" si="0"/>
        <v>627739.47</v>
      </c>
      <c r="P11" s="507"/>
    </row>
    <row r="12" spans="1:20" ht="149.25" customHeight="1" x14ac:dyDescent="0.2">
      <c r="A12" s="470"/>
      <c r="B12" s="206" t="s">
        <v>140</v>
      </c>
      <c r="C12" s="4" t="s">
        <v>56</v>
      </c>
      <c r="D12" s="73" t="s">
        <v>74</v>
      </c>
      <c r="E12" s="74" t="s">
        <v>75</v>
      </c>
      <c r="F12" s="75" t="s">
        <v>77</v>
      </c>
      <c r="G12" s="77">
        <v>3</v>
      </c>
      <c r="H12" s="74" t="s">
        <v>261</v>
      </c>
      <c r="I12" s="74" t="s">
        <v>78</v>
      </c>
      <c r="J12" s="198">
        <v>4111.0200000000004</v>
      </c>
      <c r="K12" s="78">
        <f>1972.92+646.73+50.3</f>
        <v>2669.9500000000003</v>
      </c>
      <c r="L12" s="78">
        <f>202.52</f>
        <v>202.52</v>
      </c>
      <c r="M12" s="78"/>
      <c r="N12" s="78"/>
      <c r="O12" s="133">
        <f t="shared" si="0"/>
        <v>6983.4900000000016</v>
      </c>
      <c r="P12" s="486"/>
    </row>
    <row r="13" spans="1:20" ht="66.75" customHeight="1" x14ac:dyDescent="0.2">
      <c r="A13" s="389"/>
      <c r="B13" s="382" t="s">
        <v>141</v>
      </c>
      <c r="C13" s="61" t="s">
        <v>56</v>
      </c>
      <c r="D13" s="74" t="s">
        <v>74</v>
      </c>
      <c r="E13" s="74" t="s">
        <v>75</v>
      </c>
      <c r="F13" s="75" t="s">
        <v>77</v>
      </c>
      <c r="G13" s="77">
        <v>3</v>
      </c>
      <c r="H13" s="74" t="s">
        <v>267</v>
      </c>
      <c r="I13" s="74" t="s">
        <v>78</v>
      </c>
      <c r="J13" s="198">
        <f>141865.92+65974.35</f>
        <v>207840.27000000002</v>
      </c>
      <c r="K13" s="78">
        <f>97532.69+54352</f>
        <v>151884.69</v>
      </c>
      <c r="L13" s="153">
        <f>152288.8</f>
        <v>152288.79999999999</v>
      </c>
      <c r="M13" s="78"/>
      <c r="N13" s="78"/>
      <c r="O13" s="133">
        <f t="shared" si="0"/>
        <v>512013.76</v>
      </c>
      <c r="P13" s="111"/>
      <c r="Q13" s="23" t="s">
        <v>104</v>
      </c>
    </row>
    <row r="14" spans="1:20" ht="115.5" customHeight="1" x14ac:dyDescent="0.2">
      <c r="A14" s="2" t="s">
        <v>14</v>
      </c>
      <c r="B14" s="4" t="s">
        <v>33</v>
      </c>
      <c r="C14" s="4" t="s">
        <v>56</v>
      </c>
      <c r="D14" s="285" t="s">
        <v>74</v>
      </c>
      <c r="E14" s="285" t="s">
        <v>75</v>
      </c>
      <c r="F14" s="29" t="s">
        <v>77</v>
      </c>
      <c r="G14" s="27">
        <v>3</v>
      </c>
      <c r="H14" s="42" t="s">
        <v>272</v>
      </c>
      <c r="I14" s="285" t="s">
        <v>80</v>
      </c>
      <c r="J14" s="198"/>
      <c r="K14" s="78">
        <v>202950</v>
      </c>
      <c r="L14" s="78"/>
      <c r="M14" s="78"/>
      <c r="N14" s="78"/>
      <c r="O14" s="133">
        <f t="shared" si="0"/>
        <v>202950</v>
      </c>
      <c r="P14" s="34" t="s">
        <v>92</v>
      </c>
      <c r="Q14" s="284" t="s">
        <v>211</v>
      </c>
      <c r="R14" s="23">
        <f>K14*0.01</f>
        <v>2029.5</v>
      </c>
    </row>
    <row r="15" spans="1:20" ht="65.25" customHeight="1" x14ac:dyDescent="0.2">
      <c r="A15" s="89" t="s">
        <v>57</v>
      </c>
      <c r="B15" s="88" t="s">
        <v>115</v>
      </c>
      <c r="C15" s="87" t="s">
        <v>56</v>
      </c>
      <c r="D15" s="114" t="s">
        <v>74</v>
      </c>
      <c r="E15" s="114" t="s">
        <v>75</v>
      </c>
      <c r="F15" s="118" t="s">
        <v>77</v>
      </c>
      <c r="G15" s="119">
        <v>3</v>
      </c>
      <c r="H15" s="42" t="s">
        <v>268</v>
      </c>
      <c r="I15" s="114" t="s">
        <v>80</v>
      </c>
      <c r="J15" s="198">
        <v>0</v>
      </c>
      <c r="K15" s="78"/>
      <c r="L15" s="78">
        <v>0</v>
      </c>
      <c r="M15" s="78"/>
      <c r="N15" s="78"/>
      <c r="O15" s="133">
        <f t="shared" si="0"/>
        <v>0</v>
      </c>
      <c r="P15" s="34" t="s">
        <v>106</v>
      </c>
      <c r="Q15" s="23" t="s">
        <v>104</v>
      </c>
    </row>
    <row r="16" spans="1:20" ht="87.75" customHeight="1" x14ac:dyDescent="0.2">
      <c r="A16" s="2" t="s">
        <v>103</v>
      </c>
      <c r="B16" s="5" t="s">
        <v>34</v>
      </c>
      <c r="C16" s="4" t="s">
        <v>56</v>
      </c>
      <c r="D16" s="86" t="s">
        <v>74</v>
      </c>
      <c r="E16" s="86" t="s">
        <v>27</v>
      </c>
      <c r="F16" s="29" t="s">
        <v>77</v>
      </c>
      <c r="G16" s="27">
        <v>3</v>
      </c>
      <c r="H16" s="42" t="s">
        <v>273</v>
      </c>
      <c r="I16" s="86" t="s">
        <v>80</v>
      </c>
      <c r="J16" s="198">
        <f>300+62924</f>
        <v>63224</v>
      </c>
      <c r="K16" s="78"/>
      <c r="L16" s="78">
        <v>0</v>
      </c>
      <c r="M16" s="78"/>
      <c r="N16" s="78"/>
      <c r="O16" s="133">
        <f t="shared" si="0"/>
        <v>63224</v>
      </c>
      <c r="P16" s="34" t="s">
        <v>93</v>
      </c>
      <c r="Q16" s="23">
        <f>J16*0.01</f>
        <v>632.24</v>
      </c>
      <c r="R16" s="23">
        <f>K16*0.01</f>
        <v>0</v>
      </c>
      <c r="S16" s="506" t="s">
        <v>156</v>
      </c>
      <c r="T16" s="506"/>
    </row>
    <row r="17" spans="1:20" s="284" customFormat="1" ht="170.25" customHeight="1" x14ac:dyDescent="0.2">
      <c r="A17" s="285" t="s">
        <v>161</v>
      </c>
      <c r="B17" s="295" t="s">
        <v>212</v>
      </c>
      <c r="C17" s="287" t="s">
        <v>56</v>
      </c>
      <c r="D17" s="285" t="s">
        <v>74</v>
      </c>
      <c r="E17" s="285" t="s">
        <v>75</v>
      </c>
      <c r="F17" s="29" t="s">
        <v>77</v>
      </c>
      <c r="G17" s="286">
        <v>3</v>
      </c>
      <c r="H17" s="42" t="s">
        <v>274</v>
      </c>
      <c r="I17" s="285" t="s">
        <v>80</v>
      </c>
      <c r="J17" s="198"/>
      <c r="K17" s="78">
        <v>2050</v>
      </c>
      <c r="L17" s="78"/>
      <c r="M17" s="78"/>
      <c r="N17" s="78"/>
      <c r="O17" s="133">
        <f t="shared" si="0"/>
        <v>2050</v>
      </c>
      <c r="P17" s="34" t="s">
        <v>92</v>
      </c>
      <c r="Q17" s="284" t="s">
        <v>213</v>
      </c>
      <c r="R17" s="284">
        <f>K17*0.01</f>
        <v>20.5</v>
      </c>
    </row>
    <row r="18" spans="1:20" s="284" customFormat="1" ht="87.75" customHeight="1" x14ac:dyDescent="0.2">
      <c r="A18" s="285" t="s">
        <v>177</v>
      </c>
      <c r="B18" s="288" t="s">
        <v>34</v>
      </c>
      <c r="C18" s="287" t="s">
        <v>56</v>
      </c>
      <c r="D18" s="285" t="s">
        <v>74</v>
      </c>
      <c r="E18" s="285" t="s">
        <v>27</v>
      </c>
      <c r="F18" s="29" t="s">
        <v>77</v>
      </c>
      <c r="G18" s="286">
        <v>3</v>
      </c>
      <c r="H18" s="42" t="s">
        <v>275</v>
      </c>
      <c r="I18" s="285" t="s">
        <v>80</v>
      </c>
      <c r="J18" s="198"/>
      <c r="K18" s="78">
        <v>54000</v>
      </c>
      <c r="L18" s="78">
        <v>0</v>
      </c>
      <c r="M18" s="78"/>
      <c r="N18" s="78"/>
      <c r="O18" s="133">
        <f t="shared" si="0"/>
        <v>54000</v>
      </c>
      <c r="P18" s="34" t="s">
        <v>93</v>
      </c>
      <c r="Q18" s="284" t="s">
        <v>220</v>
      </c>
      <c r="S18" s="506"/>
      <c r="T18" s="506"/>
    </row>
    <row r="19" spans="1:20" s="284" customFormat="1" ht="87.75" customHeight="1" x14ac:dyDescent="0.2">
      <c r="A19" s="285" t="s">
        <v>202</v>
      </c>
      <c r="B19" s="294" t="s">
        <v>221</v>
      </c>
      <c r="C19" s="287" t="s">
        <v>56</v>
      </c>
      <c r="D19" s="285" t="s">
        <v>74</v>
      </c>
      <c r="E19" s="285" t="s">
        <v>27</v>
      </c>
      <c r="F19" s="29" t="s">
        <v>77</v>
      </c>
      <c r="G19" s="286">
        <v>3</v>
      </c>
      <c r="H19" s="42" t="s">
        <v>273</v>
      </c>
      <c r="I19" s="285" t="s">
        <v>80</v>
      </c>
      <c r="J19" s="198"/>
      <c r="K19" s="78">
        <v>546</v>
      </c>
      <c r="L19" s="78">
        <v>0</v>
      </c>
      <c r="M19" s="78"/>
      <c r="N19" s="78"/>
      <c r="O19" s="133">
        <f t="shared" si="0"/>
        <v>546</v>
      </c>
      <c r="P19" s="34" t="s">
        <v>93</v>
      </c>
      <c r="Q19" s="284" t="s">
        <v>220</v>
      </c>
      <c r="S19" s="506"/>
      <c r="T19" s="506"/>
    </row>
    <row r="20" spans="1:20" ht="30.75" customHeight="1" x14ac:dyDescent="0.2">
      <c r="A20" s="49"/>
      <c r="B20" s="50" t="s">
        <v>15</v>
      </c>
      <c r="C20" s="51"/>
      <c r="D20" s="50"/>
      <c r="E20" s="50"/>
      <c r="F20" s="52"/>
      <c r="G20" s="53"/>
      <c r="H20" s="54"/>
      <c r="I20" s="50"/>
      <c r="J20" s="79">
        <f>SUM(J9:J16)</f>
        <v>9401121.9199999999</v>
      </c>
      <c r="K20" s="79">
        <f>SUM(K9:K19)</f>
        <v>10366003.889999997</v>
      </c>
      <c r="L20" s="79">
        <f>SUM(L9:L16)</f>
        <v>10662200.58</v>
      </c>
      <c r="M20" s="79">
        <f>SUM(M9:M16)</f>
        <v>10119628.16</v>
      </c>
      <c r="N20" s="79">
        <f>SUM(N9:N16)</f>
        <v>10119628.16</v>
      </c>
      <c r="O20" s="79">
        <f>J20+K20+L20+M20+N20</f>
        <v>50668582.709999993</v>
      </c>
      <c r="P20" s="51"/>
      <c r="Q20" s="22"/>
    </row>
    <row r="21" spans="1:20" ht="21" customHeight="1" x14ac:dyDescent="0.2">
      <c r="A21" s="55" t="s">
        <v>16</v>
      </c>
      <c r="B21" s="509" t="s">
        <v>35</v>
      </c>
      <c r="C21" s="510"/>
      <c r="D21" s="510"/>
      <c r="E21" s="510"/>
      <c r="F21" s="510"/>
      <c r="G21" s="510"/>
      <c r="H21" s="510"/>
      <c r="I21" s="510"/>
      <c r="J21" s="510"/>
      <c r="K21" s="510"/>
      <c r="L21" s="510"/>
      <c r="M21" s="510"/>
      <c r="N21" s="510"/>
      <c r="O21" s="511"/>
      <c r="P21" s="57"/>
    </row>
    <row r="22" spans="1:20" ht="167.25" customHeight="1" x14ac:dyDescent="0.25">
      <c r="A22" s="10" t="s">
        <v>17</v>
      </c>
      <c r="B22" s="12" t="s">
        <v>36</v>
      </c>
      <c r="C22" s="5" t="s">
        <v>56</v>
      </c>
      <c r="D22" s="2"/>
      <c r="E22" s="2"/>
      <c r="F22" s="29"/>
      <c r="G22" s="27"/>
      <c r="H22" s="30"/>
      <c r="I22" s="2"/>
      <c r="J22" s="11"/>
      <c r="K22" s="11"/>
      <c r="L22" s="11"/>
      <c r="M22" s="11"/>
      <c r="N22" s="11"/>
      <c r="O22" s="11">
        <f>SUM(J22:L22)</f>
        <v>0</v>
      </c>
      <c r="P22" s="34" t="s">
        <v>94</v>
      </c>
      <c r="Q22" s="35"/>
    </row>
    <row r="23" spans="1:20" ht="27" customHeight="1" x14ac:dyDescent="0.2">
      <c r="A23" s="49"/>
      <c r="B23" s="50" t="s">
        <v>18</v>
      </c>
      <c r="C23" s="51"/>
      <c r="D23" s="50"/>
      <c r="E23" s="50"/>
      <c r="F23" s="52"/>
      <c r="G23" s="53"/>
      <c r="H23" s="54"/>
      <c r="I23" s="50"/>
      <c r="J23" s="76">
        <f>SUM(J22:J22)</f>
        <v>0</v>
      </c>
      <c r="K23" s="76">
        <f>SUM(K22:K22)</f>
        <v>0</v>
      </c>
      <c r="L23" s="76">
        <f>SUM(L22:L22)</f>
        <v>0</v>
      </c>
      <c r="M23" s="76">
        <f t="shared" ref="M23:N23" si="1">SUM(M22:M22)</f>
        <v>0</v>
      </c>
      <c r="N23" s="76">
        <f t="shared" si="1"/>
        <v>0</v>
      </c>
      <c r="O23" s="76">
        <f>SUM(O22:O22)</f>
        <v>0</v>
      </c>
      <c r="P23" s="51"/>
      <c r="Q23" s="22"/>
    </row>
    <row r="24" spans="1:20" ht="22.5" customHeight="1" x14ac:dyDescent="0.2">
      <c r="A24" s="55" t="s">
        <v>19</v>
      </c>
      <c r="B24" s="509" t="s">
        <v>37</v>
      </c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  <c r="N24" s="510"/>
      <c r="O24" s="511"/>
      <c r="P24" s="57"/>
    </row>
    <row r="25" spans="1:20" ht="39.75" customHeight="1" x14ac:dyDescent="0.25">
      <c r="A25" s="388" t="s">
        <v>20</v>
      </c>
      <c r="B25" s="477" t="s">
        <v>132</v>
      </c>
      <c r="C25" s="5" t="s">
        <v>56</v>
      </c>
      <c r="D25" s="86" t="s">
        <v>74</v>
      </c>
      <c r="E25" s="86" t="s">
        <v>27</v>
      </c>
      <c r="F25" s="29" t="s">
        <v>77</v>
      </c>
      <c r="G25" s="27">
        <v>3</v>
      </c>
      <c r="H25" s="42" t="s">
        <v>276</v>
      </c>
      <c r="I25" s="86" t="s">
        <v>80</v>
      </c>
      <c r="J25" s="199">
        <f>16000+4000</f>
        <v>20000</v>
      </c>
      <c r="K25" s="144">
        <v>0</v>
      </c>
      <c r="L25" s="144">
        <v>0</v>
      </c>
      <c r="M25" s="144">
        <v>0</v>
      </c>
      <c r="N25" s="144">
        <v>0</v>
      </c>
      <c r="O25" s="144">
        <f t="shared" ref="O25:O30" si="2">SUM(J25:M25)</f>
        <v>20000</v>
      </c>
      <c r="P25" s="489" t="s">
        <v>89</v>
      </c>
      <c r="Q25" s="36" t="s">
        <v>101</v>
      </c>
    </row>
    <row r="26" spans="1:20" ht="39.75" customHeight="1" x14ac:dyDescent="0.25">
      <c r="A26" s="389"/>
      <c r="B26" s="478"/>
      <c r="C26" s="88" t="s">
        <v>56</v>
      </c>
      <c r="D26" s="73" t="s">
        <v>74</v>
      </c>
      <c r="E26" s="74" t="s">
        <v>27</v>
      </c>
      <c r="F26" s="75" t="s">
        <v>77</v>
      </c>
      <c r="G26" s="77">
        <v>3</v>
      </c>
      <c r="H26" s="42" t="s">
        <v>276</v>
      </c>
      <c r="I26" s="86" t="s">
        <v>28</v>
      </c>
      <c r="J26" s="199">
        <f>15000+3880</f>
        <v>18880</v>
      </c>
      <c r="K26" s="144">
        <v>0</v>
      </c>
      <c r="L26" s="144">
        <v>0</v>
      </c>
      <c r="M26" s="144">
        <v>0</v>
      </c>
      <c r="N26" s="144">
        <v>0</v>
      </c>
      <c r="O26" s="144">
        <f t="shared" si="2"/>
        <v>18880</v>
      </c>
      <c r="P26" s="491"/>
      <c r="Q26" s="36" t="s">
        <v>100</v>
      </c>
    </row>
    <row r="27" spans="1:20" ht="62.25" customHeight="1" x14ac:dyDescent="0.25">
      <c r="A27" s="388" t="s">
        <v>98</v>
      </c>
      <c r="B27" s="477" t="s">
        <v>116</v>
      </c>
      <c r="C27" s="88" t="s">
        <v>56</v>
      </c>
      <c r="D27" s="104" t="s">
        <v>74</v>
      </c>
      <c r="E27" s="105" t="s">
        <v>27</v>
      </c>
      <c r="F27" s="106" t="s">
        <v>77</v>
      </c>
      <c r="G27" s="107">
        <v>3</v>
      </c>
      <c r="H27" s="42" t="s">
        <v>277</v>
      </c>
      <c r="I27" s="114" t="s">
        <v>80</v>
      </c>
      <c r="J27" s="199">
        <v>90000</v>
      </c>
      <c r="K27" s="144">
        <v>0</v>
      </c>
      <c r="L27" s="144">
        <v>0</v>
      </c>
      <c r="M27" s="144">
        <v>0</v>
      </c>
      <c r="N27" s="144">
        <v>0</v>
      </c>
      <c r="O27" s="144">
        <f t="shared" si="2"/>
        <v>90000</v>
      </c>
      <c r="P27" s="489" t="s">
        <v>107</v>
      </c>
      <c r="Q27" s="36" t="s">
        <v>101</v>
      </c>
    </row>
    <row r="28" spans="1:20" ht="64.5" customHeight="1" x14ac:dyDescent="0.25">
      <c r="A28" s="389"/>
      <c r="B28" s="478"/>
      <c r="C28" s="88" t="s">
        <v>56</v>
      </c>
      <c r="D28" s="104" t="s">
        <v>74</v>
      </c>
      <c r="E28" s="105" t="s">
        <v>27</v>
      </c>
      <c r="F28" s="106" t="s">
        <v>77</v>
      </c>
      <c r="G28" s="107">
        <v>3</v>
      </c>
      <c r="H28" s="108" t="s">
        <v>277</v>
      </c>
      <c r="I28" s="114" t="s">
        <v>28</v>
      </c>
      <c r="J28" s="199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f t="shared" si="2"/>
        <v>0</v>
      </c>
      <c r="P28" s="491"/>
      <c r="Q28" s="36" t="s">
        <v>100</v>
      </c>
    </row>
    <row r="29" spans="1:20" ht="43.5" customHeight="1" x14ac:dyDescent="0.25">
      <c r="A29" s="388" t="s">
        <v>135</v>
      </c>
      <c r="B29" s="477" t="s">
        <v>133</v>
      </c>
      <c r="C29" s="110" t="s">
        <v>56</v>
      </c>
      <c r="D29" s="104" t="s">
        <v>74</v>
      </c>
      <c r="E29" s="105" t="s">
        <v>27</v>
      </c>
      <c r="F29" s="106" t="s">
        <v>77</v>
      </c>
      <c r="G29" s="107">
        <v>3</v>
      </c>
      <c r="H29" s="108" t="s">
        <v>278</v>
      </c>
      <c r="I29" s="114" t="s">
        <v>28</v>
      </c>
      <c r="J29" s="199">
        <v>75500</v>
      </c>
      <c r="K29" s="144">
        <v>0</v>
      </c>
      <c r="L29" s="144">
        <v>0</v>
      </c>
      <c r="M29" s="144">
        <v>0</v>
      </c>
      <c r="N29" s="144">
        <v>0</v>
      </c>
      <c r="O29" s="144">
        <f t="shared" si="2"/>
        <v>75500</v>
      </c>
      <c r="P29" s="112"/>
      <c r="Q29" s="36" t="s">
        <v>100</v>
      </c>
    </row>
    <row r="30" spans="1:20" ht="38.25" customHeight="1" x14ac:dyDescent="0.25">
      <c r="A30" s="389"/>
      <c r="B30" s="478"/>
      <c r="C30" s="81" t="s">
        <v>56</v>
      </c>
      <c r="D30" s="116" t="s">
        <v>74</v>
      </c>
      <c r="E30" s="116" t="s">
        <v>27</v>
      </c>
      <c r="F30" s="117" t="s">
        <v>77</v>
      </c>
      <c r="G30" s="131">
        <v>3</v>
      </c>
      <c r="H30" s="116" t="s">
        <v>278</v>
      </c>
      <c r="I30" s="116" t="s">
        <v>80</v>
      </c>
      <c r="J30" s="199">
        <v>80000</v>
      </c>
      <c r="K30" s="144">
        <v>0</v>
      </c>
      <c r="L30" s="144">
        <v>0</v>
      </c>
      <c r="M30" s="144">
        <v>0</v>
      </c>
      <c r="N30" s="144">
        <v>0</v>
      </c>
      <c r="O30" s="144">
        <f t="shared" si="2"/>
        <v>80000</v>
      </c>
      <c r="P30" s="130"/>
      <c r="Q30" s="36" t="s">
        <v>101</v>
      </c>
    </row>
    <row r="31" spans="1:20" ht="93.75" customHeight="1" x14ac:dyDescent="0.25">
      <c r="A31" s="90" t="s">
        <v>134</v>
      </c>
      <c r="B31" s="92" t="s">
        <v>117</v>
      </c>
      <c r="C31" s="88" t="s">
        <v>56</v>
      </c>
      <c r="D31" s="104" t="s">
        <v>74</v>
      </c>
      <c r="E31" s="105" t="s">
        <v>26</v>
      </c>
      <c r="F31" s="106" t="s">
        <v>77</v>
      </c>
      <c r="G31" s="107">
        <v>3</v>
      </c>
      <c r="H31" s="42" t="s">
        <v>279</v>
      </c>
      <c r="I31" s="114" t="s">
        <v>28</v>
      </c>
      <c r="J31" s="199">
        <v>250000</v>
      </c>
      <c r="K31" s="144">
        <f>250000-20000</f>
        <v>230000</v>
      </c>
      <c r="L31" s="144">
        <f>124500+20000</f>
        <v>144500</v>
      </c>
      <c r="M31" s="144">
        <f>L31</f>
        <v>144500</v>
      </c>
      <c r="N31" s="144">
        <f>M31</f>
        <v>144500</v>
      </c>
      <c r="O31" s="144">
        <f>SUM(J31:N31)</f>
        <v>913500</v>
      </c>
      <c r="P31" s="91"/>
      <c r="Q31" s="36" t="s">
        <v>102</v>
      </c>
    </row>
    <row r="32" spans="1:20" ht="27.75" customHeight="1" x14ac:dyDescent="0.2">
      <c r="A32" s="49"/>
      <c r="B32" s="50" t="s">
        <v>21</v>
      </c>
      <c r="C32" s="51"/>
      <c r="D32" s="50"/>
      <c r="E32" s="50"/>
      <c r="F32" s="52"/>
      <c r="G32" s="53"/>
      <c r="H32" s="54"/>
      <c r="I32" s="50"/>
      <c r="J32" s="146">
        <f>SUM(J25:J31)</f>
        <v>534380</v>
      </c>
      <c r="K32" s="146">
        <f t="shared" ref="K32:N32" si="3">SUM(K25:K31)</f>
        <v>230000</v>
      </c>
      <c r="L32" s="146">
        <f t="shared" si="3"/>
        <v>144500</v>
      </c>
      <c r="M32" s="146">
        <f t="shared" si="3"/>
        <v>144500</v>
      </c>
      <c r="N32" s="146">
        <f t="shared" si="3"/>
        <v>144500</v>
      </c>
      <c r="O32" s="146">
        <f>SUM(O25:O31)</f>
        <v>1197880</v>
      </c>
      <c r="P32" s="51"/>
      <c r="Q32" s="22"/>
    </row>
    <row r="33" spans="1:18" ht="23.25" customHeight="1" x14ac:dyDescent="0.2">
      <c r="A33" s="55" t="s">
        <v>22</v>
      </c>
      <c r="B33" s="509" t="s">
        <v>38</v>
      </c>
      <c r="C33" s="510"/>
      <c r="D33" s="510"/>
      <c r="E33" s="510"/>
      <c r="F33" s="510"/>
      <c r="G33" s="510"/>
      <c r="H33" s="510"/>
      <c r="I33" s="510"/>
      <c r="J33" s="510"/>
      <c r="K33" s="510"/>
      <c r="L33" s="510"/>
      <c r="M33" s="510"/>
      <c r="N33" s="510"/>
      <c r="O33" s="511"/>
      <c r="P33" s="58"/>
    </row>
    <row r="34" spans="1:18" ht="70.5" customHeight="1" x14ac:dyDescent="0.2">
      <c r="A34" s="388" t="s">
        <v>31</v>
      </c>
      <c r="B34" s="477" t="s">
        <v>136</v>
      </c>
      <c r="C34" s="420" t="s">
        <v>56</v>
      </c>
      <c r="D34" s="114" t="s">
        <v>74</v>
      </c>
      <c r="E34" s="114" t="s">
        <v>75</v>
      </c>
      <c r="F34" s="118" t="s">
        <v>77</v>
      </c>
      <c r="G34" s="119">
        <v>3</v>
      </c>
      <c r="H34" s="30" t="s">
        <v>258</v>
      </c>
      <c r="I34" s="114" t="s">
        <v>80</v>
      </c>
      <c r="J34" s="200">
        <v>60000</v>
      </c>
      <c r="K34" s="11">
        <v>0</v>
      </c>
      <c r="L34" s="11">
        <v>0</v>
      </c>
      <c r="M34" s="11"/>
      <c r="N34" s="11"/>
      <c r="O34" s="11">
        <f>SUM(J34:M34)</f>
        <v>60000</v>
      </c>
      <c r="P34" s="489" t="s">
        <v>105</v>
      </c>
      <c r="Q34" s="23" t="s">
        <v>104</v>
      </c>
    </row>
    <row r="35" spans="1:18" ht="75" customHeight="1" x14ac:dyDescent="0.2">
      <c r="A35" s="470"/>
      <c r="B35" s="500"/>
      <c r="C35" s="469"/>
      <c r="D35" s="114" t="s">
        <v>74</v>
      </c>
      <c r="E35" s="114" t="s">
        <v>27</v>
      </c>
      <c r="F35" s="118" t="s">
        <v>77</v>
      </c>
      <c r="G35" s="119">
        <v>3</v>
      </c>
      <c r="H35" s="30" t="s">
        <v>258</v>
      </c>
      <c r="I35" s="114" t="s">
        <v>80</v>
      </c>
      <c r="J35" s="200">
        <f>90000+60000-50000</f>
        <v>100000</v>
      </c>
      <c r="K35" s="11">
        <f>400000+37559</f>
        <v>437559</v>
      </c>
      <c r="L35" s="11">
        <v>0</v>
      </c>
      <c r="M35" s="11"/>
      <c r="N35" s="11"/>
      <c r="O35" s="11">
        <f>SUM(J35:M35)</f>
        <v>537559</v>
      </c>
      <c r="P35" s="490"/>
      <c r="Q35" s="205" t="s">
        <v>183</v>
      </c>
    </row>
    <row r="36" spans="1:18" ht="141.75" customHeight="1" x14ac:dyDescent="0.2">
      <c r="A36" s="2" t="s">
        <v>39</v>
      </c>
      <c r="B36" s="4" t="s">
        <v>61</v>
      </c>
      <c r="C36" s="3" t="s">
        <v>56</v>
      </c>
      <c r="D36" s="2"/>
      <c r="E36" s="2"/>
      <c r="F36" s="29"/>
      <c r="G36" s="27"/>
      <c r="H36" s="30"/>
      <c r="I36" s="2"/>
      <c r="J36" s="200"/>
      <c r="K36" s="11"/>
      <c r="L36" s="11"/>
      <c r="M36" s="11"/>
      <c r="N36" s="11"/>
      <c r="O36" s="11">
        <f t="shared" ref="O36:O37" si="4">SUM(J36:L36)</f>
        <v>0</v>
      </c>
      <c r="P36" s="37" t="s">
        <v>90</v>
      </c>
      <c r="Q36" s="23">
        <f>J36*0.2</f>
        <v>0</v>
      </c>
      <c r="R36" s="23">
        <f>K36*0.2</f>
        <v>0</v>
      </c>
    </row>
    <row r="37" spans="1:18" ht="87" customHeight="1" x14ac:dyDescent="0.2">
      <c r="A37" s="2" t="s">
        <v>40</v>
      </c>
      <c r="B37" s="4" t="s">
        <v>62</v>
      </c>
      <c r="C37" s="3" t="s">
        <v>56</v>
      </c>
      <c r="D37" s="2"/>
      <c r="E37" s="2"/>
      <c r="F37" s="29"/>
      <c r="G37" s="27"/>
      <c r="H37" s="30"/>
      <c r="I37" s="2"/>
      <c r="J37" s="200"/>
      <c r="K37" s="11"/>
      <c r="L37" s="11"/>
      <c r="M37" s="11"/>
      <c r="N37" s="11"/>
      <c r="O37" s="11">
        <f t="shared" si="4"/>
        <v>0</v>
      </c>
      <c r="P37" s="34"/>
      <c r="Q37" s="23">
        <f>J37*0.2</f>
        <v>0</v>
      </c>
      <c r="R37" s="23">
        <f>K37*0.2</f>
        <v>0</v>
      </c>
    </row>
    <row r="38" spans="1:18" ht="46.15" customHeight="1" x14ac:dyDescent="0.2">
      <c r="A38" s="388" t="s">
        <v>41</v>
      </c>
      <c r="B38" s="487" t="s">
        <v>137</v>
      </c>
      <c r="C38" s="3" t="s">
        <v>56</v>
      </c>
      <c r="D38" s="114" t="s">
        <v>74</v>
      </c>
      <c r="E38" s="114" t="s">
        <v>27</v>
      </c>
      <c r="F38" s="118" t="s">
        <v>77</v>
      </c>
      <c r="G38" s="119">
        <v>3</v>
      </c>
      <c r="H38" s="30" t="s">
        <v>259</v>
      </c>
      <c r="I38" s="114" t="s">
        <v>28</v>
      </c>
      <c r="J38" s="199">
        <f>200000+20000+58031.49</f>
        <v>278031.49</v>
      </c>
      <c r="K38" s="11">
        <v>0</v>
      </c>
      <c r="L38" s="11">
        <v>0</v>
      </c>
      <c r="M38" s="11"/>
      <c r="N38" s="11"/>
      <c r="O38" s="144">
        <f t="shared" ref="O38:O47" si="5">SUM(J38:M38)</f>
        <v>278031.49</v>
      </c>
      <c r="P38" s="132" t="s">
        <v>147</v>
      </c>
      <c r="Q38" s="23" t="s">
        <v>100</v>
      </c>
    </row>
    <row r="39" spans="1:18" ht="49.15" customHeight="1" x14ac:dyDescent="0.2">
      <c r="A39" s="470"/>
      <c r="B39" s="488"/>
      <c r="C39" s="3" t="s">
        <v>56</v>
      </c>
      <c r="D39" s="114" t="s">
        <v>74</v>
      </c>
      <c r="E39" s="114" t="s">
        <v>75</v>
      </c>
      <c r="F39" s="118" t="s">
        <v>77</v>
      </c>
      <c r="G39" s="119">
        <v>3</v>
      </c>
      <c r="H39" s="30" t="s">
        <v>259</v>
      </c>
      <c r="I39" s="114" t="s">
        <v>80</v>
      </c>
      <c r="J39" s="199"/>
      <c r="K39" s="11">
        <v>300000</v>
      </c>
      <c r="L39" s="11">
        <v>0</v>
      </c>
      <c r="M39" s="11">
        <v>0</v>
      </c>
      <c r="N39" s="11"/>
      <c r="O39" s="144">
        <f>SUM(J39:M39)</f>
        <v>300000</v>
      </c>
      <c r="P39" s="95" t="s">
        <v>108</v>
      </c>
    </row>
    <row r="40" spans="1:18" ht="66.75" customHeight="1" x14ac:dyDescent="0.2">
      <c r="A40" s="389"/>
      <c r="B40" s="488"/>
      <c r="C40" s="3" t="s">
        <v>56</v>
      </c>
      <c r="D40" s="114" t="s">
        <v>74</v>
      </c>
      <c r="E40" s="114" t="s">
        <v>27</v>
      </c>
      <c r="F40" s="118" t="s">
        <v>77</v>
      </c>
      <c r="G40" s="119">
        <v>3</v>
      </c>
      <c r="H40" s="30" t="s">
        <v>259</v>
      </c>
      <c r="I40" s="114" t="s">
        <v>80</v>
      </c>
      <c r="J40" s="199">
        <f>700000+300000+163915.45+50000</f>
        <v>1213915.45</v>
      </c>
      <c r="K40" s="242">
        <f>329682.99+1000000+133252.22</f>
        <v>1462935.21</v>
      </c>
      <c r="L40" s="11">
        <v>0</v>
      </c>
      <c r="M40" s="11">
        <v>0</v>
      </c>
      <c r="N40" s="11"/>
      <c r="O40" s="144">
        <f>SUM(J40:M40)</f>
        <v>2676850.66</v>
      </c>
      <c r="P40" s="95" t="s">
        <v>108</v>
      </c>
      <c r="Q40" s="241" t="s">
        <v>186</v>
      </c>
    </row>
    <row r="41" spans="1:18" s="194" customFormat="1" ht="66.75" customHeight="1" x14ac:dyDescent="0.2">
      <c r="A41" s="195"/>
      <c r="B41" s="488"/>
      <c r="C41" s="3" t="s">
        <v>56</v>
      </c>
      <c r="D41" s="114" t="s">
        <v>74</v>
      </c>
      <c r="E41" s="114" t="s">
        <v>27</v>
      </c>
      <c r="F41" s="118" t="s">
        <v>77</v>
      </c>
      <c r="G41" s="119">
        <v>3</v>
      </c>
      <c r="H41" s="30" t="s">
        <v>259</v>
      </c>
      <c r="I41" s="114" t="s">
        <v>179</v>
      </c>
      <c r="J41" s="192"/>
      <c r="K41" s="144">
        <f>57251.54</f>
        <v>57251.54</v>
      </c>
      <c r="L41" s="11"/>
      <c r="M41" s="11"/>
      <c r="N41" s="11"/>
      <c r="O41" s="144">
        <f t="shared" ref="O41:O42" si="6">SUM(J41:M41)</f>
        <v>57251.54</v>
      </c>
      <c r="P41" s="95" t="s">
        <v>108</v>
      </c>
      <c r="Q41" s="298" t="s">
        <v>238</v>
      </c>
    </row>
    <row r="42" spans="1:18" s="194" customFormat="1" ht="66.75" customHeight="1" x14ac:dyDescent="0.2">
      <c r="A42" s="195"/>
      <c r="B42" s="512"/>
      <c r="C42" s="3" t="s">
        <v>56</v>
      </c>
      <c r="D42" s="114" t="s">
        <v>74</v>
      </c>
      <c r="E42" s="114" t="s">
        <v>27</v>
      </c>
      <c r="F42" s="118" t="s">
        <v>77</v>
      </c>
      <c r="G42" s="119">
        <v>3</v>
      </c>
      <c r="H42" s="30" t="s">
        <v>259</v>
      </c>
      <c r="I42" s="114" t="s">
        <v>28</v>
      </c>
      <c r="J42" s="192"/>
      <c r="K42" s="144">
        <f>100784.28+2467.26-42136.11-15115.43</f>
        <v>45999.999999999993</v>
      </c>
      <c r="L42" s="11"/>
      <c r="M42" s="11"/>
      <c r="N42" s="11"/>
      <c r="O42" s="144">
        <f t="shared" si="6"/>
        <v>45999.999999999993</v>
      </c>
      <c r="P42" s="95" t="s">
        <v>108</v>
      </c>
    </row>
    <row r="43" spans="1:18" ht="78.75" customHeight="1" x14ac:dyDescent="0.2">
      <c r="A43" s="2" t="s">
        <v>64</v>
      </c>
      <c r="B43" s="109" t="s">
        <v>136</v>
      </c>
      <c r="C43" s="3" t="s">
        <v>56</v>
      </c>
      <c r="D43" s="114" t="s">
        <v>74</v>
      </c>
      <c r="E43" s="114" t="s">
        <v>27</v>
      </c>
      <c r="F43" s="118" t="s">
        <v>77</v>
      </c>
      <c r="G43" s="119">
        <v>3</v>
      </c>
      <c r="H43" s="30" t="s">
        <v>258</v>
      </c>
      <c r="I43" s="114" t="s">
        <v>28</v>
      </c>
      <c r="J43" s="200">
        <v>150000</v>
      </c>
      <c r="K43" s="11">
        <v>0</v>
      </c>
      <c r="L43" s="11">
        <v>0</v>
      </c>
      <c r="M43" s="11"/>
      <c r="N43" s="11"/>
      <c r="O43" s="11">
        <f t="shared" si="5"/>
        <v>150000</v>
      </c>
      <c r="P43" s="37" t="s">
        <v>110</v>
      </c>
      <c r="Q43" s="23" t="s">
        <v>100</v>
      </c>
    </row>
    <row r="44" spans="1:18" ht="81.75" customHeight="1" x14ac:dyDescent="0.2">
      <c r="A44" s="2" t="s">
        <v>42</v>
      </c>
      <c r="B44" s="109" t="s">
        <v>118</v>
      </c>
      <c r="C44" s="3" t="s">
        <v>56</v>
      </c>
      <c r="D44" s="114" t="s">
        <v>74</v>
      </c>
      <c r="E44" s="114" t="s">
        <v>27</v>
      </c>
      <c r="F44" s="118" t="s">
        <v>77</v>
      </c>
      <c r="G44" s="119">
        <v>3</v>
      </c>
      <c r="H44" s="30" t="s">
        <v>280</v>
      </c>
      <c r="I44" s="114" t="s">
        <v>80</v>
      </c>
      <c r="J44" s="200">
        <v>90000</v>
      </c>
      <c r="K44" s="11">
        <v>0</v>
      </c>
      <c r="L44" s="11">
        <v>0</v>
      </c>
      <c r="M44" s="11"/>
      <c r="N44" s="11"/>
      <c r="O44" s="11">
        <f t="shared" si="5"/>
        <v>90000</v>
      </c>
      <c r="P44" s="34" t="s">
        <v>109</v>
      </c>
      <c r="Q44" s="23" t="s">
        <v>0</v>
      </c>
    </row>
    <row r="45" spans="1:18" ht="132" customHeight="1" x14ac:dyDescent="0.2">
      <c r="A45" s="2" t="s">
        <v>69</v>
      </c>
      <c r="B45" s="4" t="s">
        <v>65</v>
      </c>
      <c r="C45" s="3" t="s">
        <v>56</v>
      </c>
      <c r="D45" s="2" t="s">
        <v>74</v>
      </c>
      <c r="E45" s="2" t="s">
        <v>27</v>
      </c>
      <c r="F45" s="29" t="s">
        <v>77</v>
      </c>
      <c r="G45" s="27">
        <v>3</v>
      </c>
      <c r="H45" s="30" t="s">
        <v>281</v>
      </c>
      <c r="I45" s="2" t="s">
        <v>80</v>
      </c>
      <c r="J45" s="200">
        <f>100000</f>
        <v>100000</v>
      </c>
      <c r="K45" s="11" t="s">
        <v>148</v>
      </c>
      <c r="L45" s="11" t="s">
        <v>148</v>
      </c>
      <c r="M45" s="11"/>
      <c r="N45" s="11"/>
      <c r="O45" s="11">
        <f t="shared" si="5"/>
        <v>100000</v>
      </c>
      <c r="P45" s="34" t="s">
        <v>91</v>
      </c>
    </row>
    <row r="46" spans="1:18" ht="133.5" customHeight="1" x14ac:dyDescent="0.2">
      <c r="A46" s="2" t="s">
        <v>70</v>
      </c>
      <c r="B46" s="43" t="s">
        <v>63</v>
      </c>
      <c r="C46" s="3"/>
      <c r="D46" s="2"/>
      <c r="E46" s="2"/>
      <c r="F46" s="29"/>
      <c r="G46" s="27"/>
      <c r="H46" s="30"/>
      <c r="I46" s="2"/>
      <c r="J46" s="200"/>
      <c r="K46" s="11"/>
      <c r="L46" s="11"/>
      <c r="M46" s="11"/>
      <c r="N46" s="11"/>
      <c r="O46" s="11">
        <f t="shared" si="5"/>
        <v>0</v>
      </c>
      <c r="P46" s="34" t="s">
        <v>95</v>
      </c>
    </row>
    <row r="47" spans="1:18" ht="221.25" customHeight="1" x14ac:dyDescent="0.2">
      <c r="A47" s="141" t="s">
        <v>150</v>
      </c>
      <c r="B47" s="143" t="s">
        <v>151</v>
      </c>
      <c r="C47" s="3" t="s">
        <v>56</v>
      </c>
      <c r="D47" s="141" t="s">
        <v>74</v>
      </c>
      <c r="E47" s="141" t="s">
        <v>27</v>
      </c>
      <c r="F47" s="29" t="s">
        <v>77</v>
      </c>
      <c r="G47" s="142">
        <v>3</v>
      </c>
      <c r="H47" s="30" t="s">
        <v>282</v>
      </c>
      <c r="I47" s="141" t="s">
        <v>28</v>
      </c>
      <c r="J47" s="200">
        <f>400000</f>
        <v>400000</v>
      </c>
      <c r="K47" s="11" t="s">
        <v>148</v>
      </c>
      <c r="L47" s="11" t="s">
        <v>148</v>
      </c>
      <c r="M47" s="11"/>
      <c r="N47" s="11"/>
      <c r="O47" s="11">
        <f t="shared" si="5"/>
        <v>400000</v>
      </c>
      <c r="P47" s="34" t="s">
        <v>91</v>
      </c>
    </row>
    <row r="48" spans="1:18" s="301" customFormat="1" ht="221.25" customHeight="1" x14ac:dyDescent="0.2">
      <c r="A48" s="299" t="s">
        <v>240</v>
      </c>
      <c r="B48" s="302" t="s">
        <v>243</v>
      </c>
      <c r="C48" s="3" t="s">
        <v>56</v>
      </c>
      <c r="D48" s="299" t="s">
        <v>74</v>
      </c>
      <c r="E48" s="299" t="s">
        <v>27</v>
      </c>
      <c r="F48" s="29" t="s">
        <v>77</v>
      </c>
      <c r="G48" s="300">
        <v>3</v>
      </c>
      <c r="H48" s="30" t="s">
        <v>283</v>
      </c>
      <c r="I48" s="299" t="s">
        <v>28</v>
      </c>
      <c r="J48" s="200"/>
      <c r="K48" s="242">
        <f>159831.56+231639.69</f>
        <v>391471.25</v>
      </c>
      <c r="L48" s="11"/>
      <c r="M48" s="11"/>
      <c r="N48" s="11"/>
      <c r="O48" s="242">
        <f>K48+L48+M48</f>
        <v>391471.25</v>
      </c>
      <c r="P48" s="34"/>
      <c r="Q48" s="301" t="s">
        <v>244</v>
      </c>
    </row>
    <row r="49" spans="1:17" s="301" customFormat="1" ht="221.25" customHeight="1" x14ac:dyDescent="0.2">
      <c r="A49" s="299" t="s">
        <v>242</v>
      </c>
      <c r="B49" s="302" t="s">
        <v>243</v>
      </c>
      <c r="C49" s="3" t="s">
        <v>56</v>
      </c>
      <c r="D49" s="299" t="s">
        <v>74</v>
      </c>
      <c r="E49" s="299" t="s">
        <v>27</v>
      </c>
      <c r="F49" s="29" t="s">
        <v>77</v>
      </c>
      <c r="G49" s="300">
        <v>3</v>
      </c>
      <c r="H49" s="30" t="s">
        <v>283</v>
      </c>
      <c r="I49" s="299" t="s">
        <v>179</v>
      </c>
      <c r="J49" s="200"/>
      <c r="K49" s="11">
        <v>62503.7</v>
      </c>
      <c r="L49" s="11"/>
      <c r="M49" s="11"/>
      <c r="N49" s="11"/>
      <c r="O49" s="11">
        <f>K49+L49+M49</f>
        <v>62503.7</v>
      </c>
      <c r="P49" s="34"/>
      <c r="Q49" s="301" t="s">
        <v>244</v>
      </c>
    </row>
    <row r="50" spans="1:17" s="301" customFormat="1" ht="221.25" customHeight="1" x14ac:dyDescent="0.2">
      <c r="A50" s="299" t="s">
        <v>241</v>
      </c>
      <c r="B50" s="302" t="s">
        <v>243</v>
      </c>
      <c r="C50" s="3" t="s">
        <v>56</v>
      </c>
      <c r="D50" s="299" t="s">
        <v>74</v>
      </c>
      <c r="E50" s="299" t="s">
        <v>27</v>
      </c>
      <c r="F50" s="29" t="s">
        <v>77</v>
      </c>
      <c r="G50" s="300">
        <v>3</v>
      </c>
      <c r="H50" s="30" t="s">
        <v>283</v>
      </c>
      <c r="I50" s="299" t="s">
        <v>80</v>
      </c>
      <c r="J50" s="200"/>
      <c r="K50" s="242">
        <f>43597.2+115370.63</f>
        <v>158967.83000000002</v>
      </c>
      <c r="L50" s="11"/>
      <c r="M50" s="11"/>
      <c r="N50" s="11"/>
      <c r="O50" s="242">
        <f>K50+L50+M50</f>
        <v>158967.83000000002</v>
      </c>
      <c r="P50" s="34"/>
      <c r="Q50" s="301" t="s">
        <v>245</v>
      </c>
    </row>
    <row r="51" spans="1:17" ht="28.5" customHeight="1" x14ac:dyDescent="0.2">
      <c r="A51" s="49"/>
      <c r="B51" s="50" t="s">
        <v>23</v>
      </c>
      <c r="C51" s="51"/>
      <c r="D51" s="50"/>
      <c r="E51" s="50"/>
      <c r="F51" s="52"/>
      <c r="G51" s="53"/>
      <c r="H51" s="54"/>
      <c r="I51" s="50"/>
      <c r="J51" s="182">
        <f>SUM(J34:J47)</f>
        <v>2391946.94</v>
      </c>
      <c r="K51" s="182">
        <f>SUM(K34:K50)</f>
        <v>2916688.5300000003</v>
      </c>
      <c r="L51" s="182">
        <f t="shared" ref="L51:N51" si="7">SUM(L34:L50)</f>
        <v>0</v>
      </c>
      <c r="M51" s="182">
        <f t="shared" si="7"/>
        <v>0</v>
      </c>
      <c r="N51" s="182">
        <f t="shared" si="7"/>
        <v>0</v>
      </c>
      <c r="O51" s="182">
        <f>J51+K51+L51+M51</f>
        <v>5308635.4700000007</v>
      </c>
      <c r="P51" s="51"/>
      <c r="Q51" s="22"/>
    </row>
    <row r="52" spans="1:17" ht="24" customHeight="1" x14ac:dyDescent="0.2">
      <c r="A52" s="59" t="s">
        <v>67</v>
      </c>
      <c r="B52" s="509" t="s">
        <v>235</v>
      </c>
      <c r="C52" s="510"/>
      <c r="D52" s="510"/>
      <c r="E52" s="510"/>
      <c r="F52" s="510"/>
      <c r="G52" s="510"/>
      <c r="H52" s="510"/>
      <c r="I52" s="510"/>
      <c r="J52" s="510"/>
      <c r="K52" s="510"/>
      <c r="L52" s="510"/>
      <c r="M52" s="510"/>
      <c r="N52" s="510"/>
      <c r="O52" s="511"/>
      <c r="P52" s="60"/>
    </row>
    <row r="53" spans="1:17" ht="15.75" customHeight="1" x14ac:dyDescent="0.25">
      <c r="A53" s="122" t="s">
        <v>43</v>
      </c>
      <c r="B53" s="477" t="s">
        <v>66</v>
      </c>
      <c r="C53" s="5" t="s">
        <v>56</v>
      </c>
      <c r="D53" s="2" t="s">
        <v>74</v>
      </c>
      <c r="E53" s="2" t="s">
        <v>26</v>
      </c>
      <c r="F53" s="29" t="s">
        <v>77</v>
      </c>
      <c r="G53" s="27">
        <v>3</v>
      </c>
      <c r="H53" s="30" t="s">
        <v>257</v>
      </c>
      <c r="I53" s="2" t="s">
        <v>45</v>
      </c>
      <c r="J53" s="201">
        <v>630921.29</v>
      </c>
      <c r="K53" s="83">
        <f>852246.07-7240.07+6632.78</f>
        <v>851638.78</v>
      </c>
      <c r="L53" s="83">
        <v>851127.22</v>
      </c>
      <c r="M53" s="83">
        <v>851127.22</v>
      </c>
      <c r="N53" s="83">
        <v>851127.22</v>
      </c>
      <c r="O53" s="83">
        <f>SUM(J53:N53)</f>
        <v>4035941.7299999995</v>
      </c>
      <c r="P53" s="489"/>
      <c r="Q53" s="36" t="s">
        <v>185</v>
      </c>
    </row>
    <row r="54" spans="1:17" s="346" customFormat="1" ht="15.75" customHeight="1" x14ac:dyDescent="0.25">
      <c r="A54" s="122" t="s">
        <v>43</v>
      </c>
      <c r="B54" s="500"/>
      <c r="C54" s="347" t="s">
        <v>56</v>
      </c>
      <c r="D54" s="344" t="s">
        <v>74</v>
      </c>
      <c r="E54" s="344" t="s">
        <v>26</v>
      </c>
      <c r="F54" s="29" t="s">
        <v>77</v>
      </c>
      <c r="G54" s="345">
        <v>3</v>
      </c>
      <c r="H54" s="333" t="s">
        <v>289</v>
      </c>
      <c r="I54" s="344" t="s">
        <v>45</v>
      </c>
      <c r="J54" s="201">
        <v>192955</v>
      </c>
      <c r="K54" s="83">
        <f>255580.8+23928.07</f>
        <v>279508.87</v>
      </c>
      <c r="L54" s="83">
        <v>258552.31</v>
      </c>
      <c r="M54" s="83">
        <v>258552.31</v>
      </c>
      <c r="N54" s="83">
        <v>258552.31</v>
      </c>
      <c r="O54" s="83">
        <f>SUM(J54:N54)</f>
        <v>1248120.8</v>
      </c>
      <c r="P54" s="490"/>
      <c r="Q54" s="36" t="s">
        <v>185</v>
      </c>
    </row>
    <row r="55" spans="1:17" s="320" customFormat="1" ht="15.75" customHeight="1" x14ac:dyDescent="0.25">
      <c r="A55" s="123"/>
      <c r="B55" s="500"/>
      <c r="C55" s="326" t="s">
        <v>56</v>
      </c>
      <c r="D55" s="323" t="s">
        <v>74</v>
      </c>
      <c r="E55" s="30" t="s">
        <v>26</v>
      </c>
      <c r="F55" s="72" t="s">
        <v>77</v>
      </c>
      <c r="G55" s="319">
        <v>3</v>
      </c>
      <c r="H55" s="333" t="s">
        <v>257</v>
      </c>
      <c r="I55" s="318" t="s">
        <v>285</v>
      </c>
      <c r="J55" s="201">
        <v>190538.23</v>
      </c>
      <c r="K55" s="83">
        <f>257378.31-2186.51+1972.91</f>
        <v>257164.71</v>
      </c>
      <c r="L55" s="83">
        <v>257040.42</v>
      </c>
      <c r="M55" s="83">
        <v>257040.42</v>
      </c>
      <c r="N55" s="83">
        <v>257040.42</v>
      </c>
      <c r="O55" s="83">
        <f>SUM(J55:N55)</f>
        <v>1218824.2</v>
      </c>
      <c r="P55" s="490"/>
      <c r="Q55" s="36"/>
    </row>
    <row r="56" spans="1:17" s="346" customFormat="1" ht="15.75" customHeight="1" x14ac:dyDescent="0.25">
      <c r="A56" s="123"/>
      <c r="B56" s="500"/>
      <c r="C56" s="347" t="s">
        <v>56</v>
      </c>
      <c r="D56" s="344" t="s">
        <v>74</v>
      </c>
      <c r="E56" s="30" t="s">
        <v>26</v>
      </c>
      <c r="F56" s="72" t="s">
        <v>77</v>
      </c>
      <c r="G56" s="345">
        <v>3</v>
      </c>
      <c r="H56" s="333" t="s">
        <v>289</v>
      </c>
      <c r="I56" s="344" t="s">
        <v>285</v>
      </c>
      <c r="J56" s="201">
        <v>58272.41</v>
      </c>
      <c r="K56" s="83">
        <f>77185.4+7226.29</f>
        <v>84411.689999999988</v>
      </c>
      <c r="L56" s="83">
        <v>78082.8</v>
      </c>
      <c r="M56" s="83">
        <v>78082.8</v>
      </c>
      <c r="N56" s="83">
        <v>78082.8</v>
      </c>
      <c r="O56" s="83">
        <f>SUM(J56:N56)</f>
        <v>376932.49999999994</v>
      </c>
      <c r="P56" s="490"/>
      <c r="Q56" s="36"/>
    </row>
    <row r="57" spans="1:17" x14ac:dyDescent="0.25">
      <c r="A57" s="123"/>
      <c r="B57" s="500"/>
      <c r="C57" s="5" t="s">
        <v>56</v>
      </c>
      <c r="D57" s="73" t="s">
        <v>74</v>
      </c>
      <c r="E57" s="74" t="s">
        <v>26</v>
      </c>
      <c r="F57" s="75" t="s">
        <v>77</v>
      </c>
      <c r="G57" s="77">
        <v>3</v>
      </c>
      <c r="H57" s="30" t="s">
        <v>257</v>
      </c>
      <c r="I57" s="2" t="s">
        <v>126</v>
      </c>
      <c r="J57" s="201">
        <f>7200-3200</f>
        <v>4000</v>
      </c>
      <c r="K57" s="83">
        <v>2484.59</v>
      </c>
      <c r="L57" s="83">
        <f>780+23583+574.6</f>
        <v>24937.599999999999</v>
      </c>
      <c r="M57" s="83">
        <f>780</f>
        <v>780</v>
      </c>
      <c r="N57" s="83">
        <f>780</f>
        <v>780</v>
      </c>
      <c r="O57" s="83">
        <f t="shared" ref="O57:O60" si="8">SUM(J57:N57)</f>
        <v>32982.19</v>
      </c>
      <c r="P57" s="490"/>
      <c r="Q57" s="36"/>
    </row>
    <row r="58" spans="1:17" x14ac:dyDescent="0.25">
      <c r="A58" s="123"/>
      <c r="B58" s="500"/>
      <c r="C58" s="5" t="s">
        <v>56</v>
      </c>
      <c r="D58" s="73" t="s">
        <v>74</v>
      </c>
      <c r="E58" s="74" t="s">
        <v>26</v>
      </c>
      <c r="F58" s="75" t="s">
        <v>77</v>
      </c>
      <c r="G58" s="77">
        <v>3</v>
      </c>
      <c r="H58" s="30" t="s">
        <v>257</v>
      </c>
      <c r="I58" s="74" t="s">
        <v>28</v>
      </c>
      <c r="J58" s="201">
        <f>290346.4+3200-58031.49</f>
        <v>235514.91000000003</v>
      </c>
      <c r="K58" s="83">
        <f>323459.03+27100-878.56-2484.59-1000+20000-11779.44</f>
        <v>354416.44</v>
      </c>
      <c r="L58" s="83">
        <f>347279.03-23583-574.6</f>
        <v>323121.43000000005</v>
      </c>
      <c r="M58" s="83">
        <v>347279.03</v>
      </c>
      <c r="N58" s="83">
        <v>347279.03</v>
      </c>
      <c r="O58" s="83">
        <f t="shared" si="8"/>
        <v>1607610.84</v>
      </c>
      <c r="P58" s="491"/>
      <c r="Q58" s="36"/>
    </row>
    <row r="59" spans="1:17" outlineLevel="1" x14ac:dyDescent="0.25">
      <c r="A59" s="123"/>
      <c r="B59" s="500"/>
      <c r="C59" s="120" t="s">
        <v>56</v>
      </c>
      <c r="D59" s="73" t="s">
        <v>74</v>
      </c>
      <c r="E59" s="74" t="s">
        <v>26</v>
      </c>
      <c r="F59" s="75" t="s">
        <v>77</v>
      </c>
      <c r="G59" s="77">
        <v>3</v>
      </c>
      <c r="H59" s="30" t="s">
        <v>257</v>
      </c>
      <c r="I59" s="74" t="s">
        <v>127</v>
      </c>
      <c r="J59" s="201">
        <v>4500</v>
      </c>
      <c r="K59" s="83">
        <f>878.56+1000</f>
        <v>1878.56</v>
      </c>
      <c r="L59" s="83">
        <f>1000</f>
        <v>1000</v>
      </c>
      <c r="M59" s="83">
        <f>1000</f>
        <v>1000</v>
      </c>
      <c r="N59" s="83">
        <f>1000</f>
        <v>1000</v>
      </c>
      <c r="O59" s="83">
        <f t="shared" si="8"/>
        <v>9378.56</v>
      </c>
      <c r="P59" s="121"/>
      <c r="Q59" s="36" t="s">
        <v>239</v>
      </c>
    </row>
    <row r="60" spans="1:17" outlineLevel="1" x14ac:dyDescent="0.25">
      <c r="A60" s="124"/>
      <c r="B60" s="478"/>
      <c r="C60" s="120" t="s">
        <v>56</v>
      </c>
      <c r="D60" s="73" t="s">
        <v>74</v>
      </c>
      <c r="E60" s="74" t="s">
        <v>26</v>
      </c>
      <c r="F60" s="75" t="s">
        <v>77</v>
      </c>
      <c r="G60" s="77">
        <v>3</v>
      </c>
      <c r="H60" s="74" t="s">
        <v>283</v>
      </c>
      <c r="I60" s="304" t="s">
        <v>126</v>
      </c>
      <c r="J60" s="83"/>
      <c r="K60" s="83">
        <f>8000+2416</f>
        <v>10416</v>
      </c>
      <c r="L60" s="83"/>
      <c r="M60" s="83"/>
      <c r="N60" s="83"/>
      <c r="O60" s="83">
        <f t="shared" si="8"/>
        <v>10416</v>
      </c>
      <c r="P60" s="121"/>
      <c r="Q60" s="36"/>
    </row>
    <row r="61" spans="1:17" ht="31.5" customHeight="1" x14ac:dyDescent="0.2">
      <c r="A61" s="49"/>
      <c r="B61" s="50" t="s">
        <v>44</v>
      </c>
      <c r="C61" s="51"/>
      <c r="D61" s="50"/>
      <c r="E61" s="50"/>
      <c r="F61" s="52"/>
      <c r="G61" s="53"/>
      <c r="H61" s="54"/>
      <c r="I61" s="50"/>
      <c r="J61" s="84">
        <f>SUM(J53:J60)</f>
        <v>1316701.8399999999</v>
      </c>
      <c r="K61" s="84">
        <f>SUM(K53:K60)</f>
        <v>1841919.64</v>
      </c>
      <c r="L61" s="84">
        <f>SUM(L53:L60)</f>
        <v>1793861.7800000003</v>
      </c>
      <c r="M61" s="84">
        <f>SUM(M53:M60)</f>
        <v>1793861.78</v>
      </c>
      <c r="N61" s="84">
        <f>SUM(N53:N60)</f>
        <v>1793861.78</v>
      </c>
      <c r="O61" s="84">
        <f>SUM(J61:N61)</f>
        <v>8540206.8200000003</v>
      </c>
      <c r="P61" s="51"/>
      <c r="Q61" s="22"/>
    </row>
    <row r="62" spans="1:17" ht="33" customHeight="1" x14ac:dyDescent="0.2">
      <c r="A62" s="44"/>
      <c r="B62" s="45" t="s">
        <v>24</v>
      </c>
      <c r="C62" s="45"/>
      <c r="D62" s="45"/>
      <c r="E62" s="45"/>
      <c r="F62" s="46"/>
      <c r="G62" s="47"/>
      <c r="H62" s="48"/>
      <c r="I62" s="45"/>
      <c r="J62" s="281">
        <f t="shared" ref="J62:O62" si="9">J20+J23+J32+J51+J61</f>
        <v>13644150.699999999</v>
      </c>
      <c r="K62" s="282">
        <f t="shared" si="9"/>
        <v>15354612.059999999</v>
      </c>
      <c r="L62" s="282">
        <f>L20+L23+L32+L51+L61</f>
        <v>12600562.359999999</v>
      </c>
      <c r="M62" s="282">
        <f t="shared" si="9"/>
        <v>12057989.939999999</v>
      </c>
      <c r="N62" s="282">
        <f t="shared" si="9"/>
        <v>12057989.939999999</v>
      </c>
      <c r="O62" s="282">
        <f t="shared" si="9"/>
        <v>65715304.999999993</v>
      </c>
      <c r="P62" s="45"/>
      <c r="Q62" s="22"/>
    </row>
    <row r="63" spans="1:17" x14ac:dyDescent="0.2">
      <c r="A63" s="2"/>
      <c r="B63" s="4" t="s">
        <v>25</v>
      </c>
      <c r="C63" s="4"/>
      <c r="D63" s="4"/>
      <c r="E63" s="4"/>
      <c r="F63" s="29"/>
      <c r="G63" s="27"/>
      <c r="H63" s="28"/>
      <c r="I63" s="4"/>
      <c r="J63" s="134"/>
      <c r="K63" s="83"/>
      <c r="L63" s="83"/>
      <c r="M63" s="83"/>
      <c r="N63" s="83"/>
      <c r="O63" s="83"/>
      <c r="P63" s="4"/>
    </row>
    <row r="64" spans="1:17" ht="21.75" customHeight="1" x14ac:dyDescent="0.2">
      <c r="A64" s="167"/>
      <c r="B64" s="61" t="s">
        <v>170</v>
      </c>
      <c r="C64" s="4"/>
      <c r="D64" s="4"/>
      <c r="E64" s="4"/>
      <c r="F64" s="29"/>
      <c r="G64" s="27"/>
      <c r="H64" s="28"/>
      <c r="I64" s="4"/>
      <c r="J64" s="134">
        <f>425269.2+65974.35+400000+76955.72</f>
        <v>968199.27</v>
      </c>
      <c r="K64" s="83">
        <f>K11+K13+K14+K18+K48+K49+K50+K60</f>
        <v>1262658.05</v>
      </c>
      <c r="L64" s="83">
        <f>L11+L13</f>
        <v>169961.31</v>
      </c>
      <c r="M64" s="83"/>
      <c r="N64" s="83"/>
      <c r="O64" s="83">
        <f>SUM(J64:M64)</f>
        <v>2400818.6300000004</v>
      </c>
      <c r="P64" s="172"/>
    </row>
    <row r="65" spans="1:17" ht="30" customHeight="1" x14ac:dyDescent="0.2">
      <c r="A65" s="2"/>
      <c r="B65" s="4" t="s">
        <v>171</v>
      </c>
      <c r="C65" s="4"/>
      <c r="D65" s="4"/>
      <c r="E65" s="4"/>
      <c r="F65" s="29"/>
      <c r="G65" s="27"/>
      <c r="H65" s="28"/>
      <c r="I65" s="4"/>
      <c r="J65" s="134">
        <f>J62-J64</f>
        <v>12675951.43</v>
      </c>
      <c r="K65" s="134">
        <f>K62-K64</f>
        <v>14091954.009999998</v>
      </c>
      <c r="L65" s="83">
        <f>L62-L64</f>
        <v>12430601.049999999</v>
      </c>
      <c r="M65" s="83">
        <f>M62</f>
        <v>12057989.939999999</v>
      </c>
      <c r="N65" s="83">
        <f>N62</f>
        <v>12057989.939999999</v>
      </c>
      <c r="O65" s="83">
        <f>SUM(J65:N65)</f>
        <v>63314486.36999999</v>
      </c>
      <c r="P65" s="4"/>
      <c r="Q65" s="22"/>
    </row>
    <row r="66" spans="1:17" s="25" customFormat="1" ht="35.25" customHeight="1" x14ac:dyDescent="0.2">
      <c r="A66" s="39"/>
    </row>
    <row r="67" spans="1:17" s="25" customFormat="1" ht="35.25" customHeight="1" x14ac:dyDescent="0.2">
      <c r="A67" s="468"/>
      <c r="B67" s="468"/>
      <c r="C67" s="468"/>
      <c r="D67" s="468"/>
      <c r="E67" s="468"/>
      <c r="F67" s="468"/>
      <c r="G67" s="468"/>
      <c r="H67" s="468"/>
      <c r="I67" s="468"/>
      <c r="J67" s="24"/>
      <c r="K67" s="24"/>
      <c r="L67" s="24"/>
      <c r="M67" s="24"/>
      <c r="N67" s="24"/>
      <c r="O67" s="24"/>
    </row>
    <row r="68" spans="1:17" s="25" customFormat="1" ht="35.25" customHeight="1" x14ac:dyDescent="0.2">
      <c r="A68" s="39"/>
    </row>
    <row r="69" spans="1:17" s="25" customFormat="1" ht="35.25" customHeight="1" x14ac:dyDescent="0.2">
      <c r="A69" s="39"/>
      <c r="J69" s="24"/>
    </row>
    <row r="70" spans="1:17" x14ac:dyDescent="0.2">
      <c r="J70" s="22"/>
      <c r="Q70" s="22"/>
    </row>
  </sheetData>
  <mergeCells count="38">
    <mergeCell ref="A67:I67"/>
    <mergeCell ref="B7:O7"/>
    <mergeCell ref="B8:O8"/>
    <mergeCell ref="B21:O21"/>
    <mergeCell ref="B34:B35"/>
    <mergeCell ref="B24:O24"/>
    <mergeCell ref="B33:O33"/>
    <mergeCell ref="B25:B26"/>
    <mergeCell ref="A38:A40"/>
    <mergeCell ref="B53:B60"/>
    <mergeCell ref="B29:B30"/>
    <mergeCell ref="A29:A30"/>
    <mergeCell ref="A34:A35"/>
    <mergeCell ref="A9:A13"/>
    <mergeCell ref="A25:A26"/>
    <mergeCell ref="A27:A28"/>
    <mergeCell ref="P53:P58"/>
    <mergeCell ref="P25:P26"/>
    <mergeCell ref="B27:B28"/>
    <mergeCell ref="P27:P28"/>
    <mergeCell ref="C34:C35"/>
    <mergeCell ref="P34:P35"/>
    <mergeCell ref="B52:O52"/>
    <mergeCell ref="B38:B42"/>
    <mergeCell ref="S18:T18"/>
    <mergeCell ref="S19:T19"/>
    <mergeCell ref="M1:P1"/>
    <mergeCell ref="S16:T16"/>
    <mergeCell ref="P9:P12"/>
    <mergeCell ref="M2:P2"/>
    <mergeCell ref="A3:P3"/>
    <mergeCell ref="A5:A6"/>
    <mergeCell ref="B5:B6"/>
    <mergeCell ref="C5:C6"/>
    <mergeCell ref="D5:I5"/>
    <mergeCell ref="J5:O5"/>
    <mergeCell ref="P5:P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60" fitToWidth="4" fitToHeight="17" orientation="landscape" r:id="rId1"/>
  <headerFooter alignWithMargins="0"/>
  <rowBreaks count="3" manualBreakCount="3">
    <brk id="13" max="14" man="1"/>
    <brk id="28" max="14" man="1"/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Прил 2</vt:lpstr>
      <vt:lpstr>Прил 1</vt:lpstr>
      <vt:lpstr>Прил 3</vt:lpstr>
      <vt:lpstr>Прил 4</vt:lpstr>
      <vt:lpstr>Прил 5</vt:lpstr>
      <vt:lpstr>'Прил 1'!Заголовки_для_печати</vt:lpstr>
      <vt:lpstr>'Прил 2'!Заголовки_для_печати</vt:lpstr>
      <vt:lpstr>'Прил 3'!Заголовки_для_печати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2016-07-08T06:47:27Z</cp:lastPrinted>
  <dcterms:created xsi:type="dcterms:W3CDTF">2013-07-29T03:10:57Z</dcterms:created>
  <dcterms:modified xsi:type="dcterms:W3CDTF">2016-08-18T04:28:18Z</dcterms:modified>
</cp:coreProperties>
</file>