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0" windowWidth="15480" windowHeight="10140" tabRatio="851" activeTab="3"/>
  </bookViews>
  <sheets>
    <sheet name="Приложение 2" sheetId="9" r:id="rId1"/>
    <sheet name="Приложение 1" sheetId="8" r:id="rId2"/>
    <sheet name="формулы" sheetId="1" r:id="rId3"/>
    <sheet name="Приложение 3" sheetId="6" r:id="rId4"/>
    <sheet name="формулы2" sheetId="7" r:id="rId5"/>
    <sheet name="Лист1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'Приложение 1'!$5:$6</definedName>
    <definedName name="_xlnm.Print_Titles" localSheetId="0">'Приложение 2'!$5:$6</definedName>
    <definedName name="_xlnm.Print_Titles" localSheetId="2">формулы!$5:$6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1">'Приложение 1'!$A$1:$P$25</definedName>
    <definedName name="_xlnm.Print_Area" localSheetId="0">'Приложение 2'!$A$1:$R$171</definedName>
    <definedName name="_xlnm.Print_Area" localSheetId="3">'Приложение 3'!$A$1:$Q$57</definedName>
    <definedName name="_xlnm.Print_Area" localSheetId="2">формулы!$A$1:$Q$48</definedName>
    <definedName name="_xlnm.Print_Area" localSheetId="4">формулы2!$A$1:$Q$73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 refMode="R1C1"/>
</workbook>
</file>

<file path=xl/calcChain.xml><?xml version="1.0" encoding="utf-8"?>
<calcChain xmlns="http://schemas.openxmlformats.org/spreadsheetml/2006/main">
  <c r="N56" i="9" l="1"/>
  <c r="P51" i="6"/>
  <c r="M51" i="6"/>
  <c r="M56" i="6"/>
  <c r="M49" i="6"/>
  <c r="M55" i="6" s="1"/>
  <c r="Q102" i="9"/>
  <c r="N102" i="9"/>
  <c r="N55" i="9"/>
  <c r="M18" i="8" s="1"/>
  <c r="N100" i="9"/>
  <c r="N91" i="9"/>
  <c r="M41" i="6"/>
  <c r="N41" i="6" s="1"/>
  <c r="Q101" i="9"/>
  <c r="P50" i="6"/>
  <c r="Q100" i="9"/>
  <c r="P49" i="6"/>
  <c r="N12" i="1"/>
  <c r="N43" i="9"/>
  <c r="Q43" i="9" s="1"/>
  <c r="Q38" i="9"/>
  <c r="N21" i="9"/>
  <c r="N170" i="9"/>
  <c r="Q166" i="9"/>
  <c r="Q23" i="9"/>
  <c r="P34" i="1"/>
  <c r="M34" i="1"/>
  <c r="M12" i="1"/>
  <c r="P64" i="7"/>
  <c r="N64" i="7"/>
  <c r="O64" i="7" s="1"/>
  <c r="P14" i="1"/>
  <c r="N14" i="1"/>
  <c r="O14" i="1" s="1"/>
  <c r="N51" i="9"/>
  <c r="Q51" i="9" s="1"/>
  <c r="N42" i="9"/>
  <c r="Q42" i="9" s="1"/>
  <c r="N41" i="9"/>
  <c r="Q41" i="9" s="1"/>
  <c r="M42" i="1"/>
  <c r="M43" i="1" s="1"/>
  <c r="P33" i="1"/>
  <c r="M32" i="1"/>
  <c r="P32" i="1" s="1"/>
  <c r="M24" i="1"/>
  <c r="M47" i="1" s="1"/>
  <c r="N33" i="9"/>
  <c r="N44" i="9" s="1"/>
  <c r="Q147" i="9"/>
  <c r="N35" i="9"/>
  <c r="Q33" i="9"/>
  <c r="Q156" i="9"/>
  <c r="N156" i="9"/>
  <c r="N157" i="9" s="1"/>
  <c r="Q99" i="9"/>
  <c r="N52" i="9" l="1"/>
  <c r="N15" i="9"/>
  <c r="P42" i="1"/>
  <c r="P24" i="1"/>
  <c r="M55" i="7"/>
  <c r="P54" i="7"/>
  <c r="K59" i="7"/>
  <c r="P48" i="6"/>
  <c r="M113" i="9"/>
  <c r="M111" i="9"/>
  <c r="L72" i="7" l="1"/>
  <c r="L62" i="7"/>
  <c r="L61" i="7"/>
  <c r="L68" i="7" s="1"/>
  <c r="P66" i="7"/>
  <c r="P67" i="7"/>
  <c r="P45" i="7"/>
  <c r="L40" i="6"/>
  <c r="L35" i="6"/>
  <c r="L34" i="6"/>
  <c r="L33" i="6"/>
  <c r="L25" i="1"/>
  <c r="L21" i="1"/>
  <c r="L10" i="1"/>
  <c r="L9" i="1"/>
  <c r="M107" i="9"/>
  <c r="Q168" i="9"/>
  <c r="Q169" i="9"/>
  <c r="M19" i="9"/>
  <c r="M18" i="9"/>
  <c r="N47" i="1" l="1"/>
  <c r="O47" i="1"/>
  <c r="M26" i="1"/>
  <c r="M35" i="1" s="1"/>
  <c r="Q35" i="9"/>
  <c r="N14" i="9"/>
  <c r="N9" i="9" s="1"/>
  <c r="L34" i="9"/>
  <c r="M34" i="9"/>
  <c r="O14" i="9"/>
  <c r="O9" i="9" s="1"/>
  <c r="P14" i="9"/>
  <c r="P9" i="9" s="1"/>
  <c r="O15" i="9"/>
  <c r="O10" i="9" s="1"/>
  <c r="P15" i="9"/>
  <c r="P10" i="9" s="1"/>
  <c r="N10" i="9"/>
  <c r="Q22" i="9"/>
  <c r="Q160" i="9"/>
  <c r="Q159" i="9"/>
  <c r="Q31" i="9"/>
  <c r="Q29" i="9"/>
  <c r="Q20" i="9"/>
  <c r="P29" i="1"/>
  <c r="P41" i="7"/>
  <c r="Q143" i="9"/>
  <c r="N74" i="9"/>
  <c r="Q88" i="9"/>
  <c r="O36" i="6"/>
  <c r="P26" i="1" l="1"/>
  <c r="M46" i="1"/>
  <c r="M48" i="1" s="1"/>
  <c r="N14" i="8"/>
  <c r="Q34" i="9"/>
  <c r="O14" i="8"/>
  <c r="M14" i="8"/>
  <c r="O39" i="6"/>
  <c r="N39" i="6"/>
  <c r="N58" i="7"/>
  <c r="O58" i="7" s="1"/>
  <c r="N59" i="7"/>
  <c r="O59" i="7" s="1"/>
  <c r="N60" i="7"/>
  <c r="O60" i="7" s="1"/>
  <c r="N62" i="7"/>
  <c r="O62" i="7" s="1"/>
  <c r="N65" i="7"/>
  <c r="O65" i="7" s="1"/>
  <c r="N57" i="7"/>
  <c r="O43" i="1"/>
  <c r="O12" i="1"/>
  <c r="N10" i="1"/>
  <c r="N11" i="1"/>
  <c r="N9" i="1"/>
  <c r="O9" i="1" s="1"/>
  <c r="O41" i="6"/>
  <c r="O52" i="6" s="1"/>
  <c r="M39" i="6"/>
  <c r="M52" i="6" s="1"/>
  <c r="M24" i="6"/>
  <c r="O57" i="7" l="1"/>
  <c r="O10" i="1"/>
  <c r="P10" i="1" s="1"/>
  <c r="M13" i="8"/>
  <c r="M8" i="8" s="1"/>
  <c r="N52" i="6"/>
  <c r="O11" i="1"/>
  <c r="P11" i="1" s="1"/>
  <c r="P13" i="1"/>
  <c r="O35" i="1" l="1"/>
  <c r="O48" i="1" s="1"/>
  <c r="N12" i="9"/>
  <c r="N16" i="9" l="1"/>
  <c r="M15" i="8" s="1"/>
  <c r="M12" i="8" s="1"/>
  <c r="O44" i="1"/>
  <c r="O15" i="8"/>
  <c r="Q162" i="9"/>
  <c r="Q161" i="9"/>
  <c r="O170" i="9"/>
  <c r="P170" i="9"/>
  <c r="P136" i="9"/>
  <c r="O91" i="9"/>
  <c r="P91" i="9"/>
  <c r="O89" i="9"/>
  <c r="P89" i="9"/>
  <c r="P103" i="9" s="1"/>
  <c r="N89" i="9"/>
  <c r="N103" i="9" s="1"/>
  <c r="M135" i="9"/>
  <c r="M89" i="9"/>
  <c r="L39" i="6"/>
  <c r="L33" i="7"/>
  <c r="M106" i="9"/>
  <c r="Q106" i="9" s="1"/>
  <c r="L71" i="7"/>
  <c r="P71" i="7" s="1"/>
  <c r="Q123" i="9"/>
  <c r="Q122" i="9"/>
  <c r="P21" i="7"/>
  <c r="P20" i="7"/>
  <c r="M164" i="9"/>
  <c r="O12" i="8" l="1"/>
  <c r="L23" i="8"/>
  <c r="P23" i="8" s="1"/>
  <c r="M9" i="9"/>
  <c r="M90" i="9"/>
  <c r="M103" i="9" s="1"/>
  <c r="L13" i="8"/>
  <c r="M14" i="9"/>
  <c r="M85" i="9"/>
  <c r="M84" i="9"/>
  <c r="Q84" i="9" s="1"/>
  <c r="M83" i="9"/>
  <c r="L8" i="8" l="1"/>
  <c r="P8" i="8" s="1"/>
  <c r="Q68" i="9"/>
  <c r="M15" i="9"/>
  <c r="P18" i="6"/>
  <c r="P20" i="1"/>
  <c r="P19" i="1"/>
  <c r="L35" i="1" l="1"/>
  <c r="L47" i="1"/>
  <c r="L22" i="7"/>
  <c r="M124" i="9"/>
  <c r="Q28" i="9"/>
  <c r="L14" i="8"/>
  <c r="L24" i="8"/>
  <c r="M56" i="9"/>
  <c r="M10" i="9" s="1"/>
  <c r="L24" i="6"/>
  <c r="M30" i="9"/>
  <c r="M163" i="9"/>
  <c r="M170" i="9" s="1"/>
  <c r="L164" i="9"/>
  <c r="M86" i="9"/>
  <c r="Q85" i="9"/>
  <c r="Q82" i="9"/>
  <c r="K79" i="9"/>
  <c r="Q79" i="9" s="1"/>
  <c r="K80" i="9"/>
  <c r="K81" i="9"/>
  <c r="Q81" i="9" s="1"/>
  <c r="Q83" i="9"/>
  <c r="L86" i="9"/>
  <c r="N86" i="9"/>
  <c r="N53" i="9" s="1"/>
  <c r="N57" i="9" s="1"/>
  <c r="P35" i="6"/>
  <c r="P32" i="6"/>
  <c r="P34" i="6"/>
  <c r="L46" i="1" l="1"/>
  <c r="L139" i="9"/>
  <c r="L91" i="9"/>
  <c r="Q91" i="9" s="1"/>
  <c r="L27" i="9"/>
  <c r="L26" i="9"/>
  <c r="L25" i="9"/>
  <c r="L24" i="9"/>
  <c r="Q24" i="9" s="1"/>
  <c r="L18" i="9"/>
  <c r="K62" i="7"/>
  <c r="K57" i="7"/>
  <c r="P57" i="7" s="1"/>
  <c r="K60" i="7"/>
  <c r="P60" i="7" s="1"/>
  <c r="K58" i="7"/>
  <c r="P58" i="7" s="1"/>
  <c r="P59" i="7"/>
  <c r="L56" i="6" l="1"/>
  <c r="L36" i="6"/>
  <c r="L19" i="8"/>
  <c r="K37" i="7"/>
  <c r="K13" i="7"/>
  <c r="K12" i="7"/>
  <c r="K11" i="7"/>
  <c r="K9" i="7"/>
  <c r="K41" i="6"/>
  <c r="P41" i="6" s="1"/>
  <c r="K17" i="6"/>
  <c r="K16" i="6"/>
  <c r="K15" i="6"/>
  <c r="K12" i="6"/>
  <c r="K11" i="6"/>
  <c r="K10" i="6"/>
  <c r="K9" i="6"/>
  <c r="K39" i="1"/>
  <c r="K38" i="1"/>
  <c r="K37" i="1" l="1"/>
  <c r="K18" i="1" l="1"/>
  <c r="K17" i="1"/>
  <c r="K16" i="1"/>
  <c r="K15" i="1"/>
  <c r="K9" i="1" l="1"/>
  <c r="O19" i="9" l="1"/>
  <c r="P19" i="9" l="1"/>
  <c r="Q19" i="9" s="1"/>
  <c r="M44" i="9"/>
  <c r="K51" i="7" l="1"/>
  <c r="L21" i="9" l="1"/>
  <c r="Q37" i="9"/>
  <c r="L30" i="9"/>
  <c r="Q27" i="9"/>
  <c r="P28" i="1" l="1"/>
  <c r="J9" i="1"/>
  <c r="P9" i="1" s="1"/>
  <c r="J18" i="1"/>
  <c r="P18" i="1" s="1"/>
  <c r="O136" i="9" l="1"/>
  <c r="N136" i="9"/>
  <c r="M136" i="9"/>
  <c r="M74" i="9"/>
  <c r="N33" i="7" l="1"/>
  <c r="O33" i="7" s="1"/>
  <c r="O34" i="7" s="1"/>
  <c r="N22" i="1" l="1"/>
  <c r="P22" i="1" s="1"/>
  <c r="Q25" i="9" l="1"/>
  <c r="M61" i="7"/>
  <c r="P16" i="1"/>
  <c r="N35" i="1"/>
  <c r="L32" i="9"/>
  <c r="L15" i="9" s="1"/>
  <c r="K23" i="1"/>
  <c r="K47" i="1" s="1"/>
  <c r="P47" i="1" s="1"/>
  <c r="N61" i="7" l="1"/>
  <c r="M68" i="7"/>
  <c r="K21" i="1"/>
  <c r="K12" i="1"/>
  <c r="O61" i="7" l="1"/>
  <c r="O68" i="7" s="1"/>
  <c r="N68" i="7"/>
  <c r="L135" i="9"/>
  <c r="Q135" i="9" s="1"/>
  <c r="K33" i="7" l="1"/>
  <c r="P33" i="7" s="1"/>
  <c r="Q167" i="9"/>
  <c r="Q131" i="9"/>
  <c r="Q132" i="9"/>
  <c r="Q133" i="9"/>
  <c r="Q134" i="9"/>
  <c r="Q112" i="9"/>
  <c r="Q116" i="9"/>
  <c r="Q117" i="9"/>
  <c r="Q119" i="9"/>
  <c r="Q120" i="9"/>
  <c r="Q121" i="9"/>
  <c r="Q105" i="9"/>
  <c r="Q109" i="9"/>
  <c r="Q49" i="9"/>
  <c r="Q50" i="9"/>
  <c r="Q36" i="9"/>
  <c r="Q39" i="9"/>
  <c r="Q40" i="9"/>
  <c r="Q8" i="9"/>
  <c r="Q13" i="9"/>
  <c r="Q93" i="9"/>
  <c r="Q64" i="9"/>
  <c r="Q69" i="9"/>
  <c r="Q70" i="9"/>
  <c r="Q71" i="9"/>
  <c r="Q72" i="9"/>
  <c r="Q73" i="9"/>
  <c r="O103" i="9" l="1"/>
  <c r="O96" i="9"/>
  <c r="O95" i="9"/>
  <c r="O94" i="9"/>
  <c r="O92" i="9"/>
  <c r="P11" i="8"/>
  <c r="P16" i="8"/>
  <c r="P18" i="8"/>
  <c r="P21" i="8"/>
  <c r="N19" i="8"/>
  <c r="N9" i="8" s="1"/>
  <c r="P14" i="7"/>
  <c r="P15" i="7"/>
  <c r="P17" i="7"/>
  <c r="P18" i="7"/>
  <c r="P19" i="7"/>
  <c r="P10" i="7"/>
  <c r="P14" i="6"/>
  <c r="P45" i="1"/>
  <c r="P41" i="1"/>
  <c r="P40" i="1"/>
  <c r="P27" i="1"/>
  <c r="P30" i="1"/>
  <c r="P31" i="1"/>
  <c r="N46" i="1"/>
  <c r="N36" i="6"/>
  <c r="L55" i="7"/>
  <c r="N55" i="7"/>
  <c r="N34" i="7"/>
  <c r="M25" i="7"/>
  <c r="N25" i="7"/>
  <c r="K43" i="7"/>
  <c r="K44" i="7"/>
  <c r="L155" i="9"/>
  <c r="L144" i="9"/>
  <c r="K42" i="7"/>
  <c r="P12" i="7"/>
  <c r="L89" i="9"/>
  <c r="Q89" i="9" s="1"/>
  <c r="K39" i="6"/>
  <c r="P39" i="6" s="1"/>
  <c r="K65" i="7" l="1"/>
  <c r="P65" i="7" s="1"/>
  <c r="Q154" i="9"/>
  <c r="Q155" i="9"/>
  <c r="L153" i="9"/>
  <c r="L157" i="9" s="1"/>
  <c r="K53" i="7"/>
  <c r="P53" i="7" s="1"/>
  <c r="P52" i="7"/>
  <c r="P51" i="7"/>
  <c r="Q153" i="9" l="1"/>
  <c r="K72" i="7"/>
  <c r="K55" i="7"/>
  <c r="Q26" i="9"/>
  <c r="Q61" i="9"/>
  <c r="Q114" i="9"/>
  <c r="Q48" i="9"/>
  <c r="Q67" i="9"/>
  <c r="L107" i="9"/>
  <c r="L165" i="9"/>
  <c r="Q165" i="9" s="1"/>
  <c r="P39" i="1"/>
  <c r="K56" i="6"/>
  <c r="K63" i="7"/>
  <c r="P63" i="7" s="1"/>
  <c r="P33" i="6"/>
  <c r="L44" i="9"/>
  <c r="L14" i="9" l="1"/>
  <c r="Q14" i="9" s="1"/>
  <c r="L56" i="9"/>
  <c r="K36" i="6"/>
  <c r="L90" i="9"/>
  <c r="Q90" i="9" s="1"/>
  <c r="K25" i="1"/>
  <c r="K40" i="6"/>
  <c r="P40" i="6" s="1"/>
  <c r="S17" i="7"/>
  <c r="P25" i="1" l="1"/>
  <c r="K35" i="1"/>
  <c r="K24" i="6"/>
  <c r="P43" i="7"/>
  <c r="P44" i="7"/>
  <c r="K22" i="7" l="1"/>
  <c r="L124" i="9"/>
  <c r="L74" i="9" l="1"/>
  <c r="K52" i="6"/>
  <c r="K68" i="7" l="1"/>
  <c r="L170" i="9" l="1"/>
  <c r="L10" i="9"/>
  <c r="K24" i="8"/>
  <c r="N37" i="1" l="1"/>
  <c r="N43" i="1" s="1"/>
  <c r="N44" i="1" l="1"/>
  <c r="N48" i="1"/>
  <c r="Q146" i="9"/>
  <c r="Q145" i="9"/>
  <c r="K107" i="9" l="1"/>
  <c r="K113" i="9"/>
  <c r="Q113" i="9" s="1"/>
  <c r="K111" i="9"/>
  <c r="K56" i="9"/>
  <c r="K65" i="9"/>
  <c r="K62" i="9"/>
  <c r="Q62" i="9" s="1"/>
  <c r="K60" i="9"/>
  <c r="Q60" i="9" s="1"/>
  <c r="K15" i="9"/>
  <c r="Q15" i="9" s="1"/>
  <c r="K47" i="9"/>
  <c r="Q47" i="9" s="1"/>
  <c r="K21" i="9"/>
  <c r="J24" i="8"/>
  <c r="P24" i="8" s="1"/>
  <c r="J19" i="8"/>
  <c r="J14" i="8"/>
  <c r="J72" i="7"/>
  <c r="J56" i="6"/>
  <c r="J13" i="6"/>
  <c r="P13" i="6" s="1"/>
  <c r="J9" i="7"/>
  <c r="J11" i="7"/>
  <c r="P11" i="7" s="1"/>
  <c r="P21" i="9" l="1"/>
  <c r="J17" i="6"/>
  <c r="P17" i="6" s="1"/>
  <c r="J11" i="6"/>
  <c r="P11" i="6" s="1"/>
  <c r="J10" i="6"/>
  <c r="P10" i="6" s="1"/>
  <c r="J12" i="6"/>
  <c r="P12" i="6" s="1"/>
  <c r="P23" i="6"/>
  <c r="P22" i="6"/>
  <c r="J15" i="6"/>
  <c r="Q21" i="9" l="1"/>
  <c r="J12" i="1"/>
  <c r="P12" i="1" s="1"/>
  <c r="P17" i="1"/>
  <c r="P15" i="1"/>
  <c r="J38" i="1"/>
  <c r="P38" i="1" s="1"/>
  <c r="J21" i="1"/>
  <c r="P21" i="1" s="1"/>
  <c r="K14" i="8"/>
  <c r="P14" i="8" s="1"/>
  <c r="P46" i="1" l="1"/>
  <c r="K13" i="8"/>
  <c r="P13" i="8" s="1"/>
  <c r="L9" i="9"/>
  <c r="Q9" i="9" l="1"/>
  <c r="Q107" i="9"/>
  <c r="K55" i="9"/>
  <c r="Q55" i="9" s="1"/>
  <c r="P55" i="6" l="1"/>
  <c r="J47" i="6" l="1"/>
  <c r="J52" i="6" s="1"/>
  <c r="K97" i="9"/>
  <c r="Q97" i="9" s="1"/>
  <c r="N96" i="9"/>
  <c r="M96" i="9"/>
  <c r="L96" i="9"/>
  <c r="N95" i="9"/>
  <c r="M95" i="9"/>
  <c r="L95" i="9"/>
  <c r="N94" i="9"/>
  <c r="M94" i="9"/>
  <c r="L94" i="9"/>
  <c r="N92" i="9"/>
  <c r="M92" i="9"/>
  <c r="L92" i="9"/>
  <c r="M42" i="6"/>
  <c r="L42" i="6"/>
  <c r="L46" i="6"/>
  <c r="M46" i="6"/>
  <c r="K46" i="6"/>
  <c r="L45" i="6"/>
  <c r="M45" i="6"/>
  <c r="L44" i="6"/>
  <c r="M44" i="6"/>
  <c r="P43" i="6"/>
  <c r="K42" i="6"/>
  <c r="K45" i="6"/>
  <c r="K44" i="6"/>
  <c r="Q94" i="9" l="1"/>
  <c r="Q96" i="9"/>
  <c r="Q92" i="9"/>
  <c r="Q95" i="9"/>
  <c r="K103" i="9"/>
  <c r="L52" i="6"/>
  <c r="P52" i="6" s="1"/>
  <c r="P38" i="6"/>
  <c r="P45" i="6"/>
  <c r="L103" i="9"/>
  <c r="M53" i="9"/>
  <c r="M57" i="9" s="1"/>
  <c r="L20" i="8" s="1"/>
  <c r="P44" i="6"/>
  <c r="P42" i="6"/>
  <c r="P46" i="6"/>
  <c r="Q103" i="9" l="1"/>
  <c r="O18" i="9"/>
  <c r="M19" i="8"/>
  <c r="M9" i="8" s="1"/>
  <c r="Q149" i="9"/>
  <c r="Q148" i="9"/>
  <c r="Q138" i="9"/>
  <c r="P21" i="6"/>
  <c r="P20" i="6"/>
  <c r="P19" i="6"/>
  <c r="P49" i="7"/>
  <c r="P47" i="7"/>
  <c r="P46" i="7"/>
  <c r="P36" i="7"/>
  <c r="P29" i="7"/>
  <c r="P30" i="7"/>
  <c r="P31" i="7"/>
  <c r="P32" i="7"/>
  <c r="M34" i="7"/>
  <c r="M36" i="6"/>
  <c r="M53" i="6" s="1"/>
  <c r="M57" i="6" s="1"/>
  <c r="L43" i="1"/>
  <c r="K43" i="1"/>
  <c r="N127" i="9"/>
  <c r="O59" i="9"/>
  <c r="M52" i="9"/>
  <c r="M12" i="9" s="1"/>
  <c r="L52" i="9"/>
  <c r="P18" i="9" l="1"/>
  <c r="P44" i="9" s="1"/>
  <c r="Q18" i="9"/>
  <c r="P59" i="9"/>
  <c r="L48" i="1"/>
  <c r="L15" i="8" s="1"/>
  <c r="L12" i="8" s="1"/>
  <c r="L44" i="1"/>
  <c r="O44" i="9"/>
  <c r="K44" i="1"/>
  <c r="K48" i="1"/>
  <c r="K15" i="8" s="1"/>
  <c r="K12" i="8" s="1"/>
  <c r="O65" i="9"/>
  <c r="N124" i="9"/>
  <c r="O111" i="9"/>
  <c r="N15" i="8"/>
  <c r="N12" i="8" s="1"/>
  <c r="N9" i="6"/>
  <c r="O9" i="6" s="1"/>
  <c r="N15" i="6"/>
  <c r="L12" i="9"/>
  <c r="M20" i="8"/>
  <c r="M44" i="1" l="1"/>
  <c r="M17" i="8"/>
  <c r="O74" i="9"/>
  <c r="O15" i="6"/>
  <c r="P15" i="6"/>
  <c r="N104" i="9"/>
  <c r="M25" i="8" s="1"/>
  <c r="M10" i="8" s="1"/>
  <c r="N108" i="9"/>
  <c r="O24" i="6"/>
  <c r="O53" i="6" s="1"/>
  <c r="O57" i="6" s="1"/>
  <c r="O20" i="8" s="1"/>
  <c r="O124" i="9"/>
  <c r="P111" i="9"/>
  <c r="P124" i="9" s="1"/>
  <c r="P65" i="9"/>
  <c r="P74" i="9" s="1"/>
  <c r="P53" i="9" s="1"/>
  <c r="P57" i="9" s="1"/>
  <c r="N24" i="6"/>
  <c r="N53" i="6" s="1"/>
  <c r="N57" i="6" s="1"/>
  <c r="N20" i="8" s="1"/>
  <c r="N17" i="8" s="1"/>
  <c r="O46" i="9"/>
  <c r="M22" i="7"/>
  <c r="M69" i="7" s="1"/>
  <c r="M73" i="7" s="1"/>
  <c r="N9" i="7"/>
  <c r="L16" i="9"/>
  <c r="O53" i="9" l="1"/>
  <c r="O57" i="9" s="1"/>
  <c r="Q111" i="9"/>
  <c r="Q65" i="9"/>
  <c r="N22" i="7"/>
  <c r="N69" i="7" s="1"/>
  <c r="N73" i="7" s="1"/>
  <c r="N25" i="8" s="1"/>
  <c r="O9" i="7"/>
  <c r="O22" i="7" s="1"/>
  <c r="O69" i="7" s="1"/>
  <c r="O73" i="7" s="1"/>
  <c r="O25" i="8" s="1"/>
  <c r="O22" i="8" s="1"/>
  <c r="P9" i="7"/>
  <c r="O17" i="8"/>
  <c r="P108" i="9"/>
  <c r="P104" i="9"/>
  <c r="O108" i="9"/>
  <c r="O104" i="9"/>
  <c r="N11" i="9"/>
  <c r="O52" i="9"/>
  <c r="O12" i="9" s="1"/>
  <c r="P46" i="9"/>
  <c r="P52" i="9" s="1"/>
  <c r="P12" i="9" s="1"/>
  <c r="P16" i="9" s="1"/>
  <c r="P11" i="9" s="1"/>
  <c r="P7" i="9" s="1"/>
  <c r="N22" i="8"/>
  <c r="M22" i="8"/>
  <c r="Q56" i="9"/>
  <c r="N10" i="8" l="1"/>
  <c r="N7" i="8" s="1"/>
  <c r="O10" i="8"/>
  <c r="O7" i="8" s="1"/>
  <c r="N7" i="9"/>
  <c r="O16" i="9"/>
  <c r="P56" i="6"/>
  <c r="M7" i="8" l="1"/>
  <c r="O11" i="9"/>
  <c r="K118" i="9"/>
  <c r="Q118" i="9" s="1"/>
  <c r="O7" i="9" l="1"/>
  <c r="J16" i="7"/>
  <c r="P16" i="7" s="1"/>
  <c r="P72" i="7" l="1"/>
  <c r="K150" i="9" l="1"/>
  <c r="K152" i="9"/>
  <c r="K78" i="9"/>
  <c r="Q78" i="9" s="1"/>
  <c r="K77" i="9"/>
  <c r="K76" i="9"/>
  <c r="J48" i="7"/>
  <c r="P48" i="7" s="1"/>
  <c r="J50" i="7"/>
  <c r="P50" i="7" s="1"/>
  <c r="J31" i="6"/>
  <c r="P31" i="6" s="1"/>
  <c r="J30" i="6"/>
  <c r="P30" i="6" s="1"/>
  <c r="J29" i="6"/>
  <c r="P29" i="6" s="1"/>
  <c r="J28" i="6"/>
  <c r="P28" i="6" s="1"/>
  <c r="J27" i="6"/>
  <c r="P27" i="6" s="1"/>
  <c r="J26" i="6"/>
  <c r="K86" i="9" l="1"/>
  <c r="J36" i="6"/>
  <c r="Q152" i="9"/>
  <c r="P26" i="6"/>
  <c r="P36" i="6" s="1"/>
  <c r="V11" i="9"/>
  <c r="K10" i="9" l="1"/>
  <c r="K32" i="9" l="1"/>
  <c r="Q32" i="9" s="1"/>
  <c r="K144" i="9"/>
  <c r="Q144" i="9" s="1"/>
  <c r="K139" i="9"/>
  <c r="Q150" i="9" s="1"/>
  <c r="K142" i="9"/>
  <c r="Q142" i="9" s="1"/>
  <c r="K164" i="9"/>
  <c r="Q164" i="9" s="1"/>
  <c r="J40" i="7"/>
  <c r="P40" i="7" s="1"/>
  <c r="J62" i="7"/>
  <c r="P62" i="7" s="1"/>
  <c r="J37" i="7"/>
  <c r="J42" i="7"/>
  <c r="P42" i="7" s="1"/>
  <c r="J55" i="7" l="1"/>
  <c r="P55" i="7" s="1"/>
  <c r="P37" i="7"/>
  <c r="Q139" i="9"/>
  <c r="K157" i="9"/>
  <c r="J23" i="1"/>
  <c r="J13" i="7"/>
  <c r="P13" i="7" s="1"/>
  <c r="K115" i="9"/>
  <c r="Q115" i="9" s="1"/>
  <c r="K63" i="9"/>
  <c r="Q63" i="9" s="1"/>
  <c r="P23" i="1" l="1"/>
  <c r="J35" i="1"/>
  <c r="P35" i="1" s="1"/>
  <c r="J9" i="8"/>
  <c r="P47" i="6"/>
  <c r="J16" i="6"/>
  <c r="P16" i="6" s="1"/>
  <c r="J9" i="6"/>
  <c r="P9" i="6" s="1"/>
  <c r="J37" i="1"/>
  <c r="P37" i="1" s="1"/>
  <c r="P43" i="1" s="1"/>
  <c r="J24" i="6" l="1"/>
  <c r="P24" i="6" s="1"/>
  <c r="P53" i="6" s="1"/>
  <c r="J22" i="7"/>
  <c r="P22" i="7" s="1"/>
  <c r="J43" i="1"/>
  <c r="J48" i="1" s="1"/>
  <c r="P48" i="1" s="1"/>
  <c r="K66" i="9"/>
  <c r="Q66" i="9" s="1"/>
  <c r="K59" i="9"/>
  <c r="Q59" i="9" s="1"/>
  <c r="K46" i="9"/>
  <c r="Q46" i="9" s="1"/>
  <c r="K52" i="9" l="1"/>
  <c r="Q52" i="9" s="1"/>
  <c r="K74" i="9"/>
  <c r="Q74" i="9" s="1"/>
  <c r="J53" i="6"/>
  <c r="J57" i="6" s="1"/>
  <c r="K124" i="9"/>
  <c r="Q124" i="9" s="1"/>
  <c r="J20" i="8" l="1"/>
  <c r="K53" i="9"/>
  <c r="K130" i="9"/>
  <c r="Q130" i="9" s="1"/>
  <c r="K129" i="9"/>
  <c r="Q129" i="9" s="1"/>
  <c r="K30" i="9"/>
  <c r="Q30" i="9" s="1"/>
  <c r="J27" i="7"/>
  <c r="J28" i="7"/>
  <c r="P28" i="7" s="1"/>
  <c r="K163" i="9"/>
  <c r="Q163" i="9" s="1"/>
  <c r="J61" i="7"/>
  <c r="P61" i="7" s="1"/>
  <c r="Q54" i="9"/>
  <c r="M157" i="9"/>
  <c r="Q151" i="9"/>
  <c r="Q141" i="9"/>
  <c r="Q140" i="9"/>
  <c r="L136" i="9"/>
  <c r="M127" i="9"/>
  <c r="M104" i="9" s="1"/>
  <c r="L127" i="9"/>
  <c r="K127" i="9"/>
  <c r="Q126" i="9"/>
  <c r="Q127" i="9" s="1"/>
  <c r="Q76" i="9"/>
  <c r="Q86" i="9" s="1"/>
  <c r="Q157" i="9" l="1"/>
  <c r="Q136" i="9"/>
  <c r="L104" i="9"/>
  <c r="K57" i="9"/>
  <c r="J17" i="8"/>
  <c r="J68" i="7"/>
  <c r="P68" i="7" s="1"/>
  <c r="K170" i="9"/>
  <c r="Q170" i="9" s="1"/>
  <c r="M16" i="9"/>
  <c r="K44" i="9"/>
  <c r="Q44" i="9" s="1"/>
  <c r="L108" i="9"/>
  <c r="J34" i="7"/>
  <c r="P27" i="7"/>
  <c r="P34" i="7" s="1"/>
  <c r="K136" i="9"/>
  <c r="L53" i="9"/>
  <c r="Q53" i="9" s="1"/>
  <c r="L57" i="9" l="1"/>
  <c r="Q57" i="9" s="1"/>
  <c r="K12" i="9"/>
  <c r="M11" i="9"/>
  <c r="K108" i="9"/>
  <c r="Q108" i="9" s="1"/>
  <c r="K104" i="9"/>
  <c r="Q104" i="9" s="1"/>
  <c r="K16" i="9" l="1"/>
  <c r="Q16" i="9" s="1"/>
  <c r="Q12" i="9"/>
  <c r="L11" i="9"/>
  <c r="Q10" i="9"/>
  <c r="K11" i="9" l="1"/>
  <c r="K7" i="9" s="1"/>
  <c r="M7" i="9"/>
  <c r="L7" i="9"/>
  <c r="Q11" i="9" l="1"/>
  <c r="Q7" i="9"/>
  <c r="K34" i="7"/>
  <c r="L34" i="7"/>
  <c r="J44" i="1" l="1"/>
  <c r="P44" i="1" s="1"/>
  <c r="P39" i="7"/>
  <c r="S39" i="7"/>
  <c r="R39" i="7"/>
  <c r="S38" i="7"/>
  <c r="R38" i="7"/>
  <c r="P38" i="7"/>
  <c r="L25" i="7"/>
  <c r="K25" i="7"/>
  <c r="K69" i="7" s="1"/>
  <c r="K73" i="7" s="1"/>
  <c r="J25" i="7"/>
  <c r="J69" i="7" s="1"/>
  <c r="J73" i="7" s="1"/>
  <c r="P24" i="7"/>
  <c r="P25" i="7" s="1"/>
  <c r="S16" i="7"/>
  <c r="R16" i="7"/>
  <c r="S14" i="7"/>
  <c r="L9" i="8"/>
  <c r="K53" i="6"/>
  <c r="K57" i="6" s="1"/>
  <c r="R4" i="8"/>
  <c r="K19" i="8"/>
  <c r="K9" i="8" l="1"/>
  <c r="P9" i="8" s="1"/>
  <c r="P19" i="8"/>
  <c r="J15" i="8"/>
  <c r="L53" i="6"/>
  <c r="L57" i="6" s="1"/>
  <c r="P57" i="6" s="1"/>
  <c r="K20" i="8"/>
  <c r="P20" i="8" s="1"/>
  <c r="L69" i="7" l="1"/>
  <c r="P69" i="7"/>
  <c r="J12" i="8"/>
  <c r="P12" i="8" s="1"/>
  <c r="P15" i="8"/>
  <c r="K17" i="8"/>
  <c r="L73" i="7" l="1"/>
  <c r="L25" i="8" s="1"/>
  <c r="L22" i="8" s="1"/>
  <c r="L17" i="8"/>
  <c r="P17" i="8" s="1"/>
  <c r="K25" i="8"/>
  <c r="P73" i="7" l="1"/>
  <c r="L10" i="8"/>
  <c r="L7" i="8" s="1"/>
  <c r="K10" i="8"/>
  <c r="K7" i="8" s="1"/>
  <c r="K22" i="8"/>
  <c r="S5" i="8" l="1"/>
  <c r="S6" i="8" s="1"/>
  <c r="T5" i="8" l="1"/>
  <c r="T6" i="8" s="1"/>
  <c r="J25" i="8" l="1"/>
  <c r="P25" i="8" s="1"/>
  <c r="J10" i="8" l="1"/>
  <c r="P10" i="8" s="1"/>
  <c r="J22" i="8"/>
  <c r="P22" i="8" s="1"/>
  <c r="J7" i="8" l="1"/>
  <c r="P7" i="8" s="1"/>
  <c r="R5" i="8" l="1"/>
  <c r="R6" i="8" s="1"/>
</calcChain>
</file>

<file path=xl/sharedStrings.xml><?xml version="1.0" encoding="utf-8"?>
<sst xmlns="http://schemas.openxmlformats.org/spreadsheetml/2006/main" count="2240" uniqueCount="326">
  <si>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</si>
  <si>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</si>
  <si>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</si>
  <si>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</si>
  <si>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</si>
  <si>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</si>
  <si>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</si>
  <si>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</si>
  <si>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</si>
  <si>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</si>
  <si>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</si>
  <si>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</si>
  <si>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</si>
  <si>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</si>
  <si>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</si>
  <si>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</si>
  <si>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</si>
  <si>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</si>
  <si>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</si>
  <si>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</si>
  <si>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</si>
  <si>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</si>
  <si>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</si>
  <si>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</si>
  <si>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</si>
  <si>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</si>
  <si>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</si>
  <si>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</si>
  <si>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</si>
  <si>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</si>
  <si>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</si>
  <si>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</si>
  <si>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</si>
  <si>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</si>
  <si>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</si>
  <si>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</si>
  <si>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</si>
  <si>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</si>
  <si>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</si>
  <si>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</si>
  <si>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</si>
  <si>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</si>
  <si>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</si>
  <si>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</si>
  <si>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</si>
  <si>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</si>
  <si>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</si>
  <si>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</si>
  <si>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</si>
  <si>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</si>
  <si>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</si>
  <si>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</si>
  <si>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</si>
  <si>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</si>
  <si>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</si>
  <si>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</si>
  <si>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</si>
  <si>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</si>
  <si>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</si>
  <si>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</si>
  <si>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</si>
  <si>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</si>
  <si>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</si>
  <si>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</si>
  <si>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</si>
  <si>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</si>
  <si>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</si>
  <si>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</si>
  <si>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</si>
  <si>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</si>
  <si>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</si>
  <si>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</si>
  <si>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</si>
  <si>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</si>
  <si>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</si>
  <si>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</si>
  <si>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</si>
  <si>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</si>
  <si>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</si>
  <si>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</si>
  <si>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</si>
  <si>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</si>
  <si>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</si>
  <si>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</si>
  <si>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</si>
  <si>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</si>
  <si>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</si>
  <si>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</si>
  <si>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</si>
  <si>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</si>
  <si>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</si>
  <si>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</si>
  <si>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</si>
  <si>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</si>
  <si>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</si>
  <si>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</si>
  <si>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</si>
  <si>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</si>
  <si>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</si>
  <si>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</si>
  <si>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</si>
  <si>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</si>
  <si>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</si>
  <si>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</si>
  <si>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</si>
  <si>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</si>
  <si>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</si>
  <si>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</si>
  <si>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</si>
  <si>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</si>
  <si>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</si>
  <si>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</si>
  <si>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</si>
  <si>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</si>
  <si>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</si>
  <si>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</si>
  <si>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</si>
  <si>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</si>
  <si>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</si>
  <si>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</si>
  <si>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</si>
  <si>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</si>
  <si>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</si>
  <si>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</si>
  <si>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</si>
  <si>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</si>
  <si>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</si>
  <si>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</si>
  <si>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</si>
  <si>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</si>
  <si>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</si>
  <si>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</si>
  <si>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</si>
  <si>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</si>
  <si>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</si>
  <si>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</si>
  <si>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</si>
  <si>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</si>
  <si>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</si>
  <si>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</si>
  <si>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</si>
  <si>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</si>
  <si>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</si>
  <si>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</si>
  <si>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</si>
  <si>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</si>
  <si>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</si>
  <si>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</si>
  <si>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</si>
  <si>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</si>
  <si>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</si>
  <si>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</si>
  <si>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</si>
  <si>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</si>
  <si>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</si>
  <si>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</si>
  <si>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</si>
  <si>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</si>
  <si>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</si>
  <si>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</si>
  <si>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</si>
  <si>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</si>
  <si>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</si>
  <si>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</si>
  <si>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</si>
  <si>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</si>
  <si>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</si>
  <si>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</si>
  <si>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</si>
  <si>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</si>
  <si>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</si>
  <si>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</si>
  <si>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</si>
  <si>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</si>
  <si>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</si>
  <si>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</si>
  <si>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</si>
  <si>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</si>
  <si>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</si>
  <si>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</si>
  <si>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</si>
  <si>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</si>
  <si>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</si>
  <si>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</si>
  <si>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</si>
  <si>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</si>
  <si>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</si>
  <si>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</si>
  <si>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</si>
  <si>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</si>
  <si>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</si>
  <si>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</si>
  <si>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</si>
  <si>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</si>
  <si>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</si>
  <si>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</si>
  <si>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</si>
  <si>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</si>
  <si>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</si>
  <si>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</si>
  <si>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</si>
  <si>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</si>
  <si>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</si>
  <si>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</si>
  <si>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</si>
  <si>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</si>
  <si>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</si>
  <si>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</si>
  <si>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</si>
  <si>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</si>
  <si>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</si>
  <si>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</si>
  <si>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</si>
  <si>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</si>
  <si>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</si>
  <si>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</si>
  <si>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</si>
  <si>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</si>
  <si>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</si>
  <si>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</si>
  <si>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</si>
  <si>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</si>
  <si>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</si>
  <si>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</si>
  <si>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</si>
  <si>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</si>
  <si>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</si>
  <si>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</si>
  <si>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</si>
  <si>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</si>
  <si>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</si>
  <si>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</si>
  <si>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</si>
  <si>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</si>
  <si>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</si>
  <si>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</si>
  <si>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</si>
  <si>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</si>
  <si>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</si>
  <si>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</si>
  <si>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</si>
  <si>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</si>
  <si>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</si>
  <si>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</si>
  <si>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</si>
  <si>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</si>
  <si>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</si>
  <si>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</si>
  <si>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</si>
  <si>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</si>
  <si>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</si>
  <si>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</si>
  <si>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</si>
  <si>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</si>
  <si>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</si>
  <si>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</si>
  <si>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</si>
  <si>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</si>
  <si>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</si>
  <si>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</si>
  <si>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</si>
  <si>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</si>
  <si>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</si>
  <si>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</si>
  <si>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</si>
  <si>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</si>
  <si>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</si>
  <si>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</si>
  <si>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</si>
  <si>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</si>
  <si>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</si>
  <si>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</si>
  <si>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</si>
  <si>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</si>
  <si>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</si>
  <si>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</si>
  <si>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</si>
  <si>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</si>
  <si>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</si>
  <si>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009421П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</si>
  <si>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</si>
  <si>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</si>
  <si>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</si>
  <si>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</si>
  <si>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</si>
  <si>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</si>
  <si>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ОКСМП и ИО   Федеральный бюджет</t>
  </si>
  <si>
    <t>00L0140</t>
  </si>
  <si>
    <t>Итого на 
2014 -2019 годы</t>
  </si>
  <si>
    <t>2019 год</t>
  </si>
  <si>
    <t>Итого на  
2014-2019 годы</t>
  </si>
  <si>
    <t>Итого на 2014 -2019 годы</t>
  </si>
  <si>
    <t xml:space="preserve">Приложение 3 к паспорту муниципальной программы города Бородино "Развитие культуры"
</t>
  </si>
  <si>
    <r>
      <rPr>
        <sz val="14"/>
        <color indexed="8"/>
        <rFont val="Arial"/>
        <family val="2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Arial"/>
        <family val="2"/>
        <charset val="204"/>
      </rPr>
      <t xml:space="preserve">
</t>
    </r>
  </si>
  <si>
    <t>Приложение 2  к паспорту подпрограммы  "Поддержка искусства и народного творчества"</t>
  </si>
  <si>
    <t>1.10</t>
  </si>
  <si>
    <t>1.11</t>
  </si>
  <si>
    <t>0077440</t>
  </si>
  <si>
    <t>3.3.</t>
  </si>
  <si>
    <t>0094710</t>
  </si>
  <si>
    <t>4.13.</t>
  </si>
  <si>
    <t>0094150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</si>
  <si>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5 "Обеспечение условий реализации государственной программы и прочие мероприятия" ГП Красноярского края "Развитие культуры и туризма"</t>
  </si>
  <si>
    <t>Поддержка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</si>
  <si>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00R5190</t>
  </si>
  <si>
    <t>1.12</t>
  </si>
  <si>
    <t xml:space="preserve">Приобретение сценического комплекса </t>
  </si>
  <si>
    <t>Разработка дизайн-проекта к ПСД на модернизацию городской библиотеки</t>
  </si>
  <si>
    <t>Субсидия на частичное финансирование (возмещение) расходов на повышение размеров оплаты труда основного персонала муниципальных библиотек и муниципальных музеев Красноярского края</t>
  </si>
  <si>
    <t>1.13</t>
  </si>
  <si>
    <t>0010440</t>
  </si>
  <si>
    <t>2.4.</t>
  </si>
  <si>
    <t>853</t>
  </si>
  <si>
    <t>1.14</t>
  </si>
  <si>
    <t>00L5190</t>
  </si>
  <si>
    <t>1,14</t>
  </si>
  <si>
    <t>3.4.</t>
  </si>
  <si>
    <t>Обеспечение развития и укрепления материально-технической базы муниципальных домов культуры</t>
  </si>
  <si>
    <t>00R5580</t>
  </si>
  <si>
    <t>3.5.</t>
  </si>
  <si>
    <t>3.6.</t>
  </si>
  <si>
    <t>00S8400</t>
  </si>
  <si>
    <t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(Софинансирование за счет средств местного бюджета)</t>
  </si>
  <si>
    <t>Приложение № 1                                                                                                                                           к постановлению администрации города Бородино                от     01.06.2017    №  365</t>
  </si>
  <si>
    <r>
      <rPr>
        <sz val="14"/>
        <color indexed="8"/>
        <rFont val="Arial"/>
        <family val="2"/>
        <charset val="204"/>
      </rPr>
      <t>Приложение №2  к постановлению администрации города Бородино от   01.06.2017  № 365</t>
    </r>
    <r>
      <rPr>
        <sz val="12"/>
        <color indexed="8"/>
        <rFont val="Arial"/>
        <family val="2"/>
        <charset val="204"/>
      </rPr>
      <t xml:space="preserve">
</t>
    </r>
  </si>
  <si>
    <t>Приложение № 3  к постановлению администрации города Бородино  от 01.06.2017 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</si>
</sst>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#,##0.00_ ;\-#,##0.00\ "/>
    <numFmt numFmtId="168" formatCode="_-* #,##0.00_р_._-;\-* #,##0.00_р_._-;_-* &quot;-&quot;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576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9" fillId="0" borderId="0" xfId="0" applyFont="1" applyAlignment="1">
      <alignment vertical="center" wrapText="1"/>
    </xf>
    <xf numFmtId="49" fontId="10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4" fillId="2" borderId="1" xfId="0" quotePrefix="1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quotePrefix="1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164" fontId="14" fillId="2" borderId="4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 wrapText="1"/>
    </xf>
    <xf numFmtId="49" fontId="15" fillId="8" borderId="4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49" fontId="14" fillId="8" borderId="4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14" fillId="8" borderId="1" xfId="0" applyNumberFormat="1" applyFont="1" applyFill="1" applyBorder="1" applyAlignment="1">
      <alignment horizontal="center" vertical="top" wrapText="1"/>
    </xf>
    <xf numFmtId="49" fontId="14" fillId="8" borderId="5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166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167" fontId="14" fillId="0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right" vertical="top" wrapText="1"/>
    </xf>
    <xf numFmtId="166" fontId="7" fillId="2" borderId="13" xfId="0" applyNumberFormat="1" applyFont="1" applyFill="1" applyBorder="1" applyAlignment="1">
      <alignment vertical="top" wrapText="1"/>
    </xf>
    <xf numFmtId="166" fontId="7" fillId="2" borderId="9" xfId="0" applyNumberFormat="1" applyFont="1" applyFill="1" applyBorder="1" applyAlignment="1">
      <alignment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right" vertical="top" wrapText="1"/>
    </xf>
    <xf numFmtId="49" fontId="7" fillId="2" borderId="1" xfId="0" quotePrefix="1" applyNumberFormat="1" applyFont="1" applyFill="1" applyBorder="1" applyAlignment="1">
      <alignment horizontal="center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0" fontId="14" fillId="8" borderId="5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7" fontId="14" fillId="2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top" wrapText="1"/>
    </xf>
    <xf numFmtId="166" fontId="15" fillId="2" borderId="1" xfId="0" applyNumberFormat="1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vertical="top" wrapText="1"/>
    </xf>
    <xf numFmtId="168" fontId="14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4" xfId="0" quotePrefix="1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right" vertical="top" wrapText="1"/>
    </xf>
    <xf numFmtId="49" fontId="15" fillId="0" borderId="4" xfId="0" quotePrefix="1" applyNumberFormat="1" applyFont="1" applyBorder="1" applyAlignment="1">
      <alignment horizontal="center" vertical="top" wrapText="1"/>
    </xf>
    <xf numFmtId="164" fontId="14" fillId="0" borderId="4" xfId="0" applyNumberFormat="1" applyFont="1" applyBorder="1" applyAlignment="1">
      <alignment horizontal="righ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5" fillId="0" borderId="2" xfId="0" quotePrefix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49" fontId="15" fillId="2" borderId="4" xfId="0" quotePrefix="1" applyNumberFormat="1" applyFont="1" applyFill="1" applyBorder="1" applyAlignment="1">
      <alignment horizontal="center" vertical="top" wrapText="1"/>
    </xf>
    <xf numFmtId="49" fontId="15" fillId="8" borderId="4" xfId="0" quotePrefix="1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center" wrapText="1"/>
    </xf>
    <xf numFmtId="166" fontId="7" fillId="0" borderId="2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49" fontId="15" fillId="9" borderId="1" xfId="0" applyNumberFormat="1" applyFont="1" applyFill="1" applyBorder="1" applyAlignment="1">
      <alignment horizontal="center" vertical="top" wrapText="1"/>
    </xf>
    <xf numFmtId="49" fontId="15" fillId="9" borderId="4" xfId="0" applyNumberFormat="1" applyFont="1" applyFill="1" applyBorder="1" applyAlignment="1">
      <alignment horizontal="center" vertical="top" wrapText="1"/>
    </xf>
    <xf numFmtId="49" fontId="15" fillId="9" borderId="5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vertical="top" wrapText="1"/>
    </xf>
    <xf numFmtId="167" fontId="17" fillId="0" borderId="1" xfId="0" applyNumberFormat="1" applyFont="1" applyFill="1" applyBorder="1" applyAlignment="1">
      <alignment horizontal="right" vertical="top" wrapText="1"/>
    </xf>
    <xf numFmtId="166" fontId="17" fillId="0" borderId="7" xfId="0" applyNumberFormat="1" applyFont="1" applyFill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7" fillId="4" borderId="15" xfId="0" applyNumberFormat="1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167" fontId="7" fillId="4" borderId="1" xfId="0" applyNumberFormat="1" applyFont="1" applyFill="1" applyBorder="1" applyAlignment="1">
      <alignment horizontal="righ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right" vertical="top" wrapText="1"/>
    </xf>
    <xf numFmtId="0" fontId="15" fillId="9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7" fontId="22" fillId="0" borderId="1" xfId="0" applyNumberFormat="1" applyFont="1" applyFill="1" applyBorder="1" applyAlignment="1">
      <alignment horizontal="right" vertical="top" wrapText="1"/>
    </xf>
    <xf numFmtId="168" fontId="7" fillId="4" borderId="1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top" wrapText="1"/>
    </xf>
    <xf numFmtId="4" fontId="14" fillId="10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4" fontId="22" fillId="2" borderId="1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2" fillId="11" borderId="0" xfId="0" applyFont="1" applyFill="1" applyBorder="1" applyAlignment="1">
      <alignment vertical="top" wrapText="1"/>
    </xf>
    <xf numFmtId="165" fontId="5" fillId="11" borderId="0" xfId="0" applyNumberFormat="1" applyFont="1" applyFill="1" applyAlignment="1">
      <alignment vertical="top" wrapText="1"/>
    </xf>
    <xf numFmtId="165" fontId="2" fillId="11" borderId="0" xfId="0" applyNumberFormat="1" applyFont="1" applyFill="1" applyAlignment="1">
      <alignment vertical="top" wrapText="1"/>
    </xf>
    <xf numFmtId="0" fontId="2" fillId="11" borderId="0" xfId="0" applyFont="1" applyFill="1" applyAlignment="1">
      <alignment vertical="top" wrapText="1"/>
    </xf>
    <xf numFmtId="166" fontId="2" fillId="11" borderId="0" xfId="0" applyNumberFormat="1" applyFont="1" applyFill="1" applyBorder="1" applyAlignment="1">
      <alignment horizontal="right" vertical="top" wrapText="1"/>
    </xf>
    <xf numFmtId="4" fontId="7" fillId="11" borderId="1" xfId="0" applyNumberFormat="1" applyFont="1" applyFill="1" applyBorder="1" applyAlignment="1">
      <alignment horizontal="right" vertical="top" wrapText="1"/>
    </xf>
    <xf numFmtId="0" fontId="5" fillId="11" borderId="0" xfId="0" applyFont="1" applyFill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5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7" fillId="2" borderId="6" xfId="0" applyNumberFormat="1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49" fontId="17" fillId="2" borderId="4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right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/>
    </xf>
    <xf numFmtId="164" fontId="15" fillId="2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4" fontId="7" fillId="12" borderId="1" xfId="0" applyNumberFormat="1" applyFont="1" applyFill="1" applyBorder="1" applyAlignment="1">
      <alignment horizontal="right" vertical="top" wrapText="1"/>
    </xf>
    <xf numFmtId="167" fontId="7" fillId="12" borderId="1" xfId="0" applyNumberFormat="1" applyFont="1" applyFill="1" applyBorder="1" applyAlignment="1">
      <alignment horizontal="right" vertical="top" wrapText="1"/>
    </xf>
    <xf numFmtId="167" fontId="17" fillId="2" borderId="1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14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164" fontId="14" fillId="0" borderId="7" xfId="0" applyNumberFormat="1" applyFont="1" applyFill="1" applyBorder="1" applyAlignment="1">
      <alignment horizontal="right" vertical="top" wrapText="1"/>
    </xf>
    <xf numFmtId="164" fontId="7" fillId="2" borderId="7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4" fontId="24" fillId="2" borderId="1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15" fillId="0" borderId="12" xfId="0" applyNumberFormat="1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top" wrapText="1"/>
    </xf>
    <xf numFmtId="49" fontId="15" fillId="0" borderId="14" xfId="0" applyNumberFormat="1" applyFont="1" applyFill="1" applyBorder="1" applyAlignment="1">
      <alignment horizontal="center" vertical="top" wrapText="1"/>
    </xf>
    <xf numFmtId="49" fontId="15" fillId="0" borderId="10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49" fontId="15" fillId="2" borderId="10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9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center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3" xfId="0" quotePrefix="1" applyFont="1" applyFill="1" applyBorder="1" applyAlignment="1">
      <alignment horizontal="left" vertical="top" wrapText="1"/>
    </xf>
    <xf numFmtId="0" fontId="14" fillId="2" borderId="7" xfId="0" quotePrefix="1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166" fontId="7" fillId="0" borderId="2" xfId="0" applyNumberFormat="1" applyFont="1" applyFill="1" applyBorder="1" applyAlignment="1">
      <alignment horizontal="left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center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3" xfId="0" applyBorder="1"/>
    <xf numFmtId="0" fontId="0" fillId="0" borderId="7" xfId="0" applyBorder="1"/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171"/>
  <sheetViews>
    <sheetView view="pageBreakPreview" zoomScale="63" zoomScaleNormal="85" zoomScaleSheetLayoutView="63" workbookViewId="0">
      <selection activeCell="N1" sqref="N1:R1"/>
    </sheetView>
  </sheetViews>
  <sheetFormatPr defaultColWidth="9.109375" defaultRowHeight="15.6" x14ac:dyDescent="0.25"/>
  <cols>
    <col min="1" max="1" width="6.44140625" style="12" customWidth="1"/>
    <col min="2" max="2" width="20" style="12" customWidth="1"/>
    <col min="3" max="3" width="23.109375" style="9" customWidth="1"/>
    <col min="4" max="4" width="19.33203125" style="9" customWidth="1"/>
    <col min="5" max="6" width="9.109375" style="9"/>
    <col min="7" max="7" width="4.5546875" style="9" customWidth="1"/>
    <col min="8" max="8" width="3" style="9" customWidth="1"/>
    <col min="9" max="9" width="14.109375" style="9" customWidth="1"/>
    <col min="10" max="10" width="7.5546875" style="9" customWidth="1"/>
    <col min="11" max="12" width="21.109375" style="9" customWidth="1"/>
    <col min="13" max="13" width="21.88671875" style="9" customWidth="1"/>
    <col min="14" max="14" width="20.33203125" style="294" customWidth="1"/>
    <col min="15" max="15" width="21.5546875" style="40" customWidth="1"/>
    <col min="16" max="16" width="21.44140625" style="56" customWidth="1"/>
    <col min="17" max="17" width="22.6640625" style="9" customWidth="1"/>
    <col min="18" max="18" width="21.109375" style="9" customWidth="1"/>
    <col min="19" max="19" width="35.88671875" style="9" customWidth="1"/>
    <col min="20" max="21" width="9.109375" style="9"/>
    <col min="22" max="22" width="10.44140625" style="9" bestFit="1" customWidth="1"/>
    <col min="23" max="16384" width="9.109375" style="9"/>
  </cols>
  <sheetData>
    <row r="1" spans="1:22" ht="80.25" customHeight="1" x14ac:dyDescent="0.25">
      <c r="A1" s="58"/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433" t="s">
        <v>324</v>
      </c>
      <c r="O1" s="433"/>
      <c r="P1" s="433"/>
      <c r="Q1" s="433"/>
      <c r="R1" s="433"/>
    </row>
    <row r="2" spans="1:22" ht="87.75" customHeight="1" x14ac:dyDescent="0.25">
      <c r="A2" s="58"/>
      <c r="B2" s="58"/>
      <c r="C2" s="59"/>
      <c r="D2" s="59"/>
      <c r="E2" s="59"/>
      <c r="F2" s="434"/>
      <c r="G2" s="435"/>
      <c r="H2" s="435"/>
      <c r="I2" s="59"/>
      <c r="J2" s="59"/>
      <c r="K2" s="59"/>
      <c r="L2" s="60"/>
      <c r="M2" s="60"/>
      <c r="N2" s="440" t="s">
        <v>292</v>
      </c>
      <c r="O2" s="440"/>
      <c r="P2" s="440"/>
      <c r="Q2" s="440"/>
      <c r="R2" s="440"/>
      <c r="S2" s="18"/>
    </row>
    <row r="3" spans="1:22" ht="53.25" customHeight="1" x14ac:dyDescent="0.25">
      <c r="A3" s="436" t="s">
        <v>193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61"/>
    </row>
    <row r="4" spans="1:22" x14ac:dyDescent="0.25">
      <c r="A4" s="58"/>
      <c r="B4" s="58"/>
      <c r="C4" s="59"/>
      <c r="D4" s="59"/>
      <c r="E4" s="59"/>
      <c r="F4" s="62"/>
      <c r="G4" s="63" t="s">
        <v>29</v>
      </c>
      <c r="H4" s="62">
        <v>1</v>
      </c>
      <c r="I4" s="62"/>
      <c r="J4" s="59"/>
      <c r="K4" s="59"/>
      <c r="L4" s="59"/>
      <c r="M4" s="59"/>
      <c r="N4" s="132"/>
      <c r="O4" s="59"/>
      <c r="P4" s="59"/>
      <c r="Q4" s="59"/>
      <c r="R4" s="59"/>
    </row>
    <row r="5" spans="1:22" ht="18" customHeight="1" x14ac:dyDescent="0.25">
      <c r="A5" s="442" t="s">
        <v>3</v>
      </c>
      <c r="B5" s="445" t="s">
        <v>202</v>
      </c>
      <c r="C5" s="443" t="s">
        <v>280</v>
      </c>
      <c r="D5" s="441" t="s">
        <v>228</v>
      </c>
      <c r="E5" s="441" t="s">
        <v>4</v>
      </c>
      <c r="F5" s="441"/>
      <c r="G5" s="441"/>
      <c r="H5" s="441"/>
      <c r="I5" s="441"/>
      <c r="J5" s="441"/>
      <c r="K5" s="437" t="s">
        <v>223</v>
      </c>
      <c r="L5" s="438"/>
      <c r="M5" s="438"/>
      <c r="N5" s="438"/>
      <c r="O5" s="438"/>
      <c r="P5" s="438"/>
      <c r="Q5" s="439"/>
      <c r="R5" s="441" t="s">
        <v>5</v>
      </c>
      <c r="V5" s="9">
        <v>12000000</v>
      </c>
    </row>
    <row r="6" spans="1:22" ht="87.75" customHeight="1" x14ac:dyDescent="0.25">
      <c r="A6" s="442"/>
      <c r="B6" s="446"/>
      <c r="C6" s="444"/>
      <c r="D6" s="441"/>
      <c r="E6" s="64" t="s">
        <v>6</v>
      </c>
      <c r="F6" s="64" t="s">
        <v>7</v>
      </c>
      <c r="G6" s="437" t="s">
        <v>8</v>
      </c>
      <c r="H6" s="438"/>
      <c r="I6" s="439"/>
      <c r="J6" s="64" t="s">
        <v>9</v>
      </c>
      <c r="K6" s="64" t="s">
        <v>10</v>
      </c>
      <c r="L6" s="64" t="s">
        <v>11</v>
      </c>
      <c r="M6" s="64" t="s">
        <v>12</v>
      </c>
      <c r="N6" s="68" t="s">
        <v>159</v>
      </c>
      <c r="O6" s="64" t="s">
        <v>241</v>
      </c>
      <c r="P6" s="64" t="s">
        <v>289</v>
      </c>
      <c r="Q6" s="64" t="s">
        <v>288</v>
      </c>
      <c r="R6" s="441"/>
      <c r="V6" s="9">
        <v>340000</v>
      </c>
    </row>
    <row r="7" spans="1:22" ht="49.5" customHeight="1" x14ac:dyDescent="0.25">
      <c r="A7" s="461"/>
      <c r="B7" s="473" t="s">
        <v>76</v>
      </c>
      <c r="C7" s="464" t="s">
        <v>176</v>
      </c>
      <c r="D7" s="65" t="s">
        <v>141</v>
      </c>
      <c r="E7" s="66" t="s">
        <v>48</v>
      </c>
      <c r="F7" s="66" t="s">
        <v>48</v>
      </c>
      <c r="G7" s="66" t="s">
        <v>48</v>
      </c>
      <c r="H7" s="66" t="s">
        <v>48</v>
      </c>
      <c r="I7" s="66" t="s">
        <v>48</v>
      </c>
      <c r="J7" s="66" t="s">
        <v>48</v>
      </c>
      <c r="K7" s="67">
        <f t="shared" ref="K7:P7" si="0">SUM(K9:K11)</f>
        <v>65340733.63000001</v>
      </c>
      <c r="L7" s="67">
        <f t="shared" si="0"/>
        <v>59975697.280000001</v>
      </c>
      <c r="M7" s="67">
        <f t="shared" si="0"/>
        <v>59147703.5</v>
      </c>
      <c r="N7" s="67">
        <f t="shared" si="0"/>
        <v>62970823.950000003</v>
      </c>
      <c r="O7" s="67">
        <f t="shared" si="0"/>
        <v>56661609.940000005</v>
      </c>
      <c r="P7" s="67">
        <f t="shared" si="0"/>
        <v>56661609.940000005</v>
      </c>
      <c r="Q7" s="67">
        <f>SUM(K7:P7)</f>
        <v>360758178.24000001</v>
      </c>
      <c r="R7" s="68"/>
      <c r="V7" s="9">
        <v>320000</v>
      </c>
    </row>
    <row r="8" spans="1:22" ht="20.25" customHeight="1" x14ac:dyDescent="0.25">
      <c r="A8" s="462"/>
      <c r="B8" s="466"/>
      <c r="C8" s="462"/>
      <c r="D8" s="69" t="s">
        <v>25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67">
        <f t="shared" ref="Q8:Q14" si="1">SUM(K8:O8)</f>
        <v>0</v>
      </c>
      <c r="R8" s="68"/>
      <c r="V8" s="9">
        <v>430000</v>
      </c>
    </row>
    <row r="9" spans="1:22" ht="65.25" customHeight="1" x14ac:dyDescent="0.25">
      <c r="A9" s="462"/>
      <c r="B9" s="466"/>
      <c r="C9" s="462"/>
      <c r="D9" s="69" t="s">
        <v>190</v>
      </c>
      <c r="E9" s="70" t="s">
        <v>48</v>
      </c>
      <c r="F9" s="71" t="s">
        <v>48</v>
      </c>
      <c r="G9" s="71" t="s">
        <v>48</v>
      </c>
      <c r="H9" s="71" t="s">
        <v>48</v>
      </c>
      <c r="I9" s="71" t="s">
        <v>48</v>
      </c>
      <c r="J9" s="71" t="s">
        <v>48</v>
      </c>
      <c r="K9" s="72">
        <v>6181600</v>
      </c>
      <c r="L9" s="72">
        <f>L14</f>
        <v>3000</v>
      </c>
      <c r="M9" s="72">
        <f>2500-300+M106</f>
        <v>37560</v>
      </c>
      <c r="N9" s="72">
        <f t="shared" ref="N9:P11" si="2">N14+N55+N106</f>
        <v>2114580</v>
      </c>
      <c r="O9" s="72">
        <f t="shared" si="2"/>
        <v>0</v>
      </c>
      <c r="P9" s="72">
        <f t="shared" si="2"/>
        <v>0</v>
      </c>
      <c r="Q9" s="67">
        <f t="shared" si="1"/>
        <v>8336740</v>
      </c>
      <c r="R9" s="68"/>
    </row>
    <row r="10" spans="1:22" ht="54" customHeight="1" x14ac:dyDescent="0.25">
      <c r="A10" s="462"/>
      <c r="B10" s="466"/>
      <c r="C10" s="462"/>
      <c r="D10" s="69" t="s">
        <v>191</v>
      </c>
      <c r="E10" s="70" t="s">
        <v>48</v>
      </c>
      <c r="F10" s="71" t="s">
        <v>48</v>
      </c>
      <c r="G10" s="71" t="s">
        <v>48</v>
      </c>
      <c r="H10" s="71" t="s">
        <v>48</v>
      </c>
      <c r="I10" s="71" t="s">
        <v>48</v>
      </c>
      <c r="J10" s="71" t="s">
        <v>48</v>
      </c>
      <c r="K10" s="72">
        <f t="shared" ref="K10:M11" si="3">K15+K56+K107</f>
        <v>4022906.0900000003</v>
      </c>
      <c r="L10" s="72">
        <f t="shared" si="3"/>
        <v>3072008.16</v>
      </c>
      <c r="M10" s="72">
        <f t="shared" si="3"/>
        <v>2290892.2999999998</v>
      </c>
      <c r="N10" s="72">
        <f t="shared" si="2"/>
        <v>748020</v>
      </c>
      <c r="O10" s="72">
        <f t="shared" si="2"/>
        <v>0</v>
      </c>
      <c r="P10" s="72">
        <f t="shared" si="2"/>
        <v>0</v>
      </c>
      <c r="Q10" s="67">
        <f t="shared" si="1"/>
        <v>10133826.550000001</v>
      </c>
      <c r="R10" s="68"/>
      <c r="V10" s="9">
        <v>400000</v>
      </c>
    </row>
    <row r="11" spans="1:22" ht="63" customHeight="1" x14ac:dyDescent="0.25">
      <c r="A11" s="463"/>
      <c r="B11" s="467"/>
      <c r="C11" s="463"/>
      <c r="D11" s="69" t="s">
        <v>192</v>
      </c>
      <c r="E11" s="70" t="s">
        <v>48</v>
      </c>
      <c r="F11" s="71" t="s">
        <v>48</v>
      </c>
      <c r="G11" s="71" t="s">
        <v>48</v>
      </c>
      <c r="H11" s="71" t="s">
        <v>48</v>
      </c>
      <c r="I11" s="71" t="s">
        <v>48</v>
      </c>
      <c r="J11" s="71" t="s">
        <v>48</v>
      </c>
      <c r="K11" s="72">
        <f t="shared" si="3"/>
        <v>55136227.540000007</v>
      </c>
      <c r="L11" s="72">
        <f t="shared" si="3"/>
        <v>56900689.119999997</v>
      </c>
      <c r="M11" s="72">
        <f t="shared" si="3"/>
        <v>56819251.200000003</v>
      </c>
      <c r="N11" s="72">
        <f t="shared" si="2"/>
        <v>60108223.950000003</v>
      </c>
      <c r="O11" s="72">
        <f t="shared" si="2"/>
        <v>56661609.940000005</v>
      </c>
      <c r="P11" s="72">
        <f t="shared" si="2"/>
        <v>56661609.940000005</v>
      </c>
      <c r="Q11" s="67">
        <f>SUM(K11:P11)</f>
        <v>342287611.69</v>
      </c>
      <c r="R11" s="68"/>
      <c r="S11" s="46"/>
      <c r="V11" s="9">
        <f>SUM(V5:V10)</f>
        <v>13490000</v>
      </c>
    </row>
    <row r="12" spans="1:22" ht="48.75" customHeight="1" x14ac:dyDescent="0.25">
      <c r="A12" s="450" t="s">
        <v>13</v>
      </c>
      <c r="B12" s="465" t="s">
        <v>49</v>
      </c>
      <c r="C12" s="453" t="s">
        <v>142</v>
      </c>
      <c r="D12" s="69" t="s">
        <v>141</v>
      </c>
      <c r="E12" s="70"/>
      <c r="F12" s="70"/>
      <c r="G12" s="70"/>
      <c r="H12" s="70"/>
      <c r="I12" s="70"/>
      <c r="J12" s="70"/>
      <c r="K12" s="72">
        <f t="shared" ref="K12:P12" si="4">K44+K52</f>
        <v>9957712.459999999</v>
      </c>
      <c r="L12" s="72">
        <f t="shared" si="4"/>
        <v>10484619.77</v>
      </c>
      <c r="M12" s="72">
        <f t="shared" si="4"/>
        <v>10359883.650000002</v>
      </c>
      <c r="N12" s="72">
        <f>N44+N52</f>
        <v>11001441.66</v>
      </c>
      <c r="O12" s="72">
        <f t="shared" si="4"/>
        <v>10486041.66</v>
      </c>
      <c r="P12" s="72">
        <f t="shared" si="4"/>
        <v>10486041.66</v>
      </c>
      <c r="Q12" s="67">
        <f>SUM(K12:P12)</f>
        <v>62775740.859999999</v>
      </c>
      <c r="R12" s="68"/>
    </row>
    <row r="13" spans="1:22" ht="20.25" customHeight="1" x14ac:dyDescent="0.25">
      <c r="A13" s="462"/>
      <c r="B13" s="466"/>
      <c r="C13" s="462"/>
      <c r="D13" s="69" t="s">
        <v>25</v>
      </c>
      <c r="E13" s="70"/>
      <c r="F13" s="70"/>
      <c r="G13" s="70"/>
      <c r="H13" s="70"/>
      <c r="I13" s="70"/>
      <c r="J13" s="70"/>
      <c r="K13" s="72"/>
      <c r="L13" s="70"/>
      <c r="M13" s="70"/>
      <c r="N13" s="70"/>
      <c r="O13" s="70"/>
      <c r="P13" s="70"/>
      <c r="Q13" s="67">
        <f t="shared" si="1"/>
        <v>0</v>
      </c>
      <c r="R13" s="68"/>
    </row>
    <row r="14" spans="1:22" ht="51.75" customHeight="1" x14ac:dyDescent="0.25">
      <c r="A14" s="462"/>
      <c r="B14" s="466"/>
      <c r="C14" s="462"/>
      <c r="D14" s="69" t="s">
        <v>190</v>
      </c>
      <c r="E14" s="70" t="s">
        <v>48</v>
      </c>
      <c r="F14" s="71" t="s">
        <v>48</v>
      </c>
      <c r="G14" s="71" t="s">
        <v>48</v>
      </c>
      <c r="H14" s="71" t="s">
        <v>48</v>
      </c>
      <c r="I14" s="71" t="s">
        <v>48</v>
      </c>
      <c r="J14" s="71" t="s">
        <v>48</v>
      </c>
      <c r="K14" s="72">
        <v>0</v>
      </c>
      <c r="L14" s="72">
        <f>L34</f>
        <v>3000</v>
      </c>
      <c r="M14" s="72">
        <f>M34</f>
        <v>2200</v>
      </c>
      <c r="N14" s="72">
        <f>N35</f>
        <v>2100</v>
      </c>
      <c r="O14" s="72">
        <f>O34</f>
        <v>0</v>
      </c>
      <c r="P14" s="72">
        <f>P34</f>
        <v>0</v>
      </c>
      <c r="Q14" s="67">
        <f t="shared" si="1"/>
        <v>7300</v>
      </c>
      <c r="R14" s="68"/>
    </row>
    <row r="15" spans="1:22" ht="55.5" customHeight="1" x14ac:dyDescent="0.25">
      <c r="A15" s="462"/>
      <c r="B15" s="466"/>
      <c r="C15" s="462"/>
      <c r="D15" s="69" t="s">
        <v>191</v>
      </c>
      <c r="E15" s="70" t="s">
        <v>48</v>
      </c>
      <c r="F15" s="70" t="s">
        <v>48</v>
      </c>
      <c r="G15" s="70" t="s">
        <v>48</v>
      </c>
      <c r="H15" s="70" t="s">
        <v>48</v>
      </c>
      <c r="I15" s="70" t="s">
        <v>48</v>
      </c>
      <c r="J15" s="70" t="s">
        <v>48</v>
      </c>
      <c r="K15" s="72">
        <f>303924-6800+17407.21</f>
        <v>314531.21000000002</v>
      </c>
      <c r="L15" s="72">
        <f>L24+L47+L32+L25</f>
        <v>329979.43</v>
      </c>
      <c r="M15" s="72">
        <f>M32+M24+M25+M47+M28+M29</f>
        <v>121929.48000000001</v>
      </c>
      <c r="N15" s="72">
        <f>N32+N24+N25+N47+N28+N29+N33+N41+N42+N51</f>
        <v>513300</v>
      </c>
      <c r="O15" s="72">
        <f>O32+O24+O25+O47+O28+O29</f>
        <v>0</v>
      </c>
      <c r="P15" s="72">
        <f>P32+P24+P25+P47+P28+P29</f>
        <v>0</v>
      </c>
      <c r="Q15" s="67">
        <f>SUM(K15:O15)</f>
        <v>1279740.1200000001</v>
      </c>
      <c r="R15" s="68"/>
    </row>
    <row r="16" spans="1:22" ht="64.5" customHeight="1" x14ac:dyDescent="0.25">
      <c r="A16" s="463"/>
      <c r="B16" s="467"/>
      <c r="C16" s="463"/>
      <c r="D16" s="69" t="s">
        <v>192</v>
      </c>
      <c r="E16" s="70" t="s">
        <v>48</v>
      </c>
      <c r="F16" s="70" t="s">
        <v>48</v>
      </c>
      <c r="G16" s="70" t="s">
        <v>48</v>
      </c>
      <c r="H16" s="70" t="s">
        <v>48</v>
      </c>
      <c r="I16" s="70" t="s">
        <v>48</v>
      </c>
      <c r="J16" s="70" t="s">
        <v>48</v>
      </c>
      <c r="K16" s="72">
        <f>K12-K15</f>
        <v>9643181.2499999981</v>
      </c>
      <c r="L16" s="72">
        <f>L12-L15-L14</f>
        <v>10151640.34</v>
      </c>
      <c r="M16" s="72">
        <f>M12-M15-M14</f>
        <v>10235754.170000002</v>
      </c>
      <c r="N16" s="72">
        <f>N12-N15-N14</f>
        <v>10486041.66</v>
      </c>
      <c r="O16" s="72">
        <f t="shared" ref="O16:P16" si="5">O12-O15-O14</f>
        <v>10486041.66</v>
      </c>
      <c r="P16" s="72">
        <f t="shared" si="5"/>
        <v>10486041.66</v>
      </c>
      <c r="Q16" s="67">
        <f>SUM(K16:P16)</f>
        <v>61488700.739999995</v>
      </c>
      <c r="R16" s="68"/>
    </row>
    <row r="17" spans="1:19" ht="18.75" customHeight="1" x14ac:dyDescent="0.25">
      <c r="A17" s="73" t="s">
        <v>13</v>
      </c>
      <c r="B17" s="74"/>
      <c r="C17" s="430" t="s">
        <v>68</v>
      </c>
      <c r="D17" s="431"/>
      <c r="E17" s="431"/>
      <c r="F17" s="431"/>
      <c r="G17" s="431"/>
      <c r="H17" s="431"/>
      <c r="I17" s="431"/>
      <c r="J17" s="431"/>
      <c r="K17" s="431"/>
      <c r="L17" s="431"/>
      <c r="M17" s="431"/>
      <c r="N17" s="431"/>
      <c r="O17" s="431"/>
      <c r="P17" s="431"/>
      <c r="Q17" s="432"/>
      <c r="R17" s="68"/>
    </row>
    <row r="18" spans="1:19" ht="29.25" customHeight="1" x14ac:dyDescent="0.25">
      <c r="A18" s="108" t="s">
        <v>30</v>
      </c>
      <c r="B18" s="335"/>
      <c r="C18" s="471" t="s">
        <v>119</v>
      </c>
      <c r="D18" s="69" t="s">
        <v>56</v>
      </c>
      <c r="E18" s="76" t="s">
        <v>74</v>
      </c>
      <c r="F18" s="76" t="s">
        <v>27</v>
      </c>
      <c r="G18" s="77" t="s">
        <v>77</v>
      </c>
      <c r="H18" s="78">
        <v>1</v>
      </c>
      <c r="I18" s="111" t="s">
        <v>243</v>
      </c>
      <c r="J18" s="80" t="s">
        <v>79</v>
      </c>
      <c r="K18" s="81">
        <v>4736588.21</v>
      </c>
      <c r="L18" s="81">
        <f>4807782.33-88</f>
        <v>4807694.33</v>
      </c>
      <c r="M18" s="81">
        <f>4922469.22</f>
        <v>4922469.22</v>
      </c>
      <c r="N18" s="81">
        <v>4953804.01</v>
      </c>
      <c r="O18" s="81">
        <f>N18</f>
        <v>4953804.01</v>
      </c>
      <c r="P18" s="81">
        <f>O18</f>
        <v>4953804.01</v>
      </c>
      <c r="Q18" s="81">
        <f t="shared" ref="Q18:Q23" si="6">SUM(K18:P18)</f>
        <v>29328163.789999992</v>
      </c>
      <c r="R18" s="425" t="s">
        <v>82</v>
      </c>
    </row>
    <row r="19" spans="1:19" s="44" customFormat="1" ht="29.25" customHeight="1" x14ac:dyDescent="0.25">
      <c r="A19" s="134"/>
      <c r="B19" s="336"/>
      <c r="C19" s="472"/>
      <c r="D19" s="69" t="s">
        <v>56</v>
      </c>
      <c r="E19" s="83" t="s">
        <v>74</v>
      </c>
      <c r="F19" s="83" t="s">
        <v>27</v>
      </c>
      <c r="G19" s="84" t="s">
        <v>77</v>
      </c>
      <c r="H19" s="78">
        <v>1</v>
      </c>
      <c r="I19" s="111" t="s">
        <v>243</v>
      </c>
      <c r="J19" s="85" t="s">
        <v>277</v>
      </c>
      <c r="K19" s="81">
        <v>1430437.95</v>
      </c>
      <c r="L19" s="81">
        <v>1451923.68</v>
      </c>
      <c r="M19" s="81">
        <f>1486585.71</f>
        <v>1486585.71</v>
      </c>
      <c r="N19" s="81">
        <v>1496048.81</v>
      </c>
      <c r="O19" s="81">
        <f>N19</f>
        <v>1496048.81</v>
      </c>
      <c r="P19" s="81">
        <f>O19</f>
        <v>1496048.81</v>
      </c>
      <c r="Q19" s="81">
        <f t="shared" si="6"/>
        <v>8857093.7700000014</v>
      </c>
      <c r="R19" s="426"/>
    </row>
    <row r="20" spans="1:19" s="24" customFormat="1" ht="29.25" customHeight="1" x14ac:dyDescent="0.25">
      <c r="A20" s="134"/>
      <c r="B20" s="336"/>
      <c r="C20" s="472"/>
      <c r="D20" s="69" t="s">
        <v>56</v>
      </c>
      <c r="E20" s="83" t="s">
        <v>74</v>
      </c>
      <c r="F20" s="83" t="s">
        <v>27</v>
      </c>
      <c r="G20" s="84" t="s">
        <v>77</v>
      </c>
      <c r="H20" s="78">
        <v>1</v>
      </c>
      <c r="I20" s="93" t="s">
        <v>243</v>
      </c>
      <c r="J20" s="83" t="s">
        <v>128</v>
      </c>
      <c r="K20" s="81"/>
      <c r="L20" s="81">
        <v>1560</v>
      </c>
      <c r="M20" s="81">
        <v>2236.1999999999998</v>
      </c>
      <c r="N20" s="81">
        <v>1560</v>
      </c>
      <c r="O20" s="81">
        <v>1560</v>
      </c>
      <c r="P20" s="81">
        <v>1560</v>
      </c>
      <c r="Q20" s="81">
        <f t="shared" si="6"/>
        <v>8476.2000000000007</v>
      </c>
      <c r="R20" s="426"/>
    </row>
    <row r="21" spans="1:19" ht="27" customHeight="1" x14ac:dyDescent="0.25">
      <c r="A21" s="134"/>
      <c r="B21" s="336"/>
      <c r="C21" s="472"/>
      <c r="D21" s="69" t="s">
        <v>56</v>
      </c>
      <c r="E21" s="83" t="s">
        <v>74</v>
      </c>
      <c r="F21" s="83" t="s">
        <v>27</v>
      </c>
      <c r="G21" s="84" t="s">
        <v>77</v>
      </c>
      <c r="H21" s="78">
        <v>1</v>
      </c>
      <c r="I21" s="93" t="s">
        <v>243</v>
      </c>
      <c r="J21" s="83" t="s">
        <v>28</v>
      </c>
      <c r="K21" s="81">
        <f>1019485-3.2+1687.2</f>
        <v>1021169</v>
      </c>
      <c r="L21" s="81">
        <f>1027352.04-3300-6800</f>
        <v>1017252.04</v>
      </c>
      <c r="M21" s="81">
        <v>1157926.8</v>
      </c>
      <c r="N21" s="81">
        <f>1008123+4300-41</f>
        <v>1012382</v>
      </c>
      <c r="O21" s="81">
        <v>1012423</v>
      </c>
      <c r="P21" s="81">
        <f>O21</f>
        <v>1012423</v>
      </c>
      <c r="Q21" s="81">
        <f t="shared" si="6"/>
        <v>6233575.8399999999</v>
      </c>
      <c r="R21" s="426"/>
      <c r="S21" s="9" t="s">
        <v>199</v>
      </c>
    </row>
    <row r="22" spans="1:19" s="56" customFormat="1" ht="27" customHeight="1" x14ac:dyDescent="0.25">
      <c r="A22" s="134"/>
      <c r="B22" s="336"/>
      <c r="C22" s="472"/>
      <c r="D22" s="69" t="s">
        <v>56</v>
      </c>
      <c r="E22" s="76" t="s">
        <v>74</v>
      </c>
      <c r="F22" s="83" t="s">
        <v>27</v>
      </c>
      <c r="G22" s="84" t="s">
        <v>77</v>
      </c>
      <c r="H22" s="78">
        <v>1</v>
      </c>
      <c r="I22" s="93" t="s">
        <v>243</v>
      </c>
      <c r="J22" s="83" t="s">
        <v>127</v>
      </c>
      <c r="K22" s="88">
        <v>150</v>
      </c>
      <c r="L22" s="88">
        <v>160</v>
      </c>
      <c r="M22" s="88">
        <v>160</v>
      </c>
      <c r="Q22" s="81">
        <f t="shared" si="6"/>
        <v>470</v>
      </c>
      <c r="R22" s="426"/>
    </row>
    <row r="23" spans="1:19" ht="43.5" customHeight="1" x14ac:dyDescent="0.25">
      <c r="A23" s="113"/>
      <c r="B23" s="337"/>
      <c r="C23" s="474"/>
      <c r="D23" s="69" t="s">
        <v>56</v>
      </c>
      <c r="E23" s="76" t="s">
        <v>74</v>
      </c>
      <c r="F23" s="83" t="s">
        <v>27</v>
      </c>
      <c r="G23" s="84" t="s">
        <v>77</v>
      </c>
      <c r="H23" s="78">
        <v>1</v>
      </c>
      <c r="I23" s="93" t="s">
        <v>243</v>
      </c>
      <c r="J23" s="399">
        <v>853</v>
      </c>
      <c r="K23" s="403"/>
      <c r="L23" s="403"/>
      <c r="M23" s="403"/>
      <c r="N23" s="88">
        <v>160</v>
      </c>
      <c r="O23" s="88">
        <v>160</v>
      </c>
      <c r="P23" s="88">
        <v>160</v>
      </c>
      <c r="Q23" s="81">
        <f t="shared" si="6"/>
        <v>480</v>
      </c>
      <c r="R23" s="427"/>
    </row>
    <row r="24" spans="1:19" ht="127.5" customHeight="1" x14ac:dyDescent="0.25">
      <c r="A24" s="134"/>
      <c r="B24" s="336"/>
      <c r="C24" s="428" t="s">
        <v>138</v>
      </c>
      <c r="D24" s="69" t="s">
        <v>56</v>
      </c>
      <c r="E24" s="76" t="s">
        <v>74</v>
      </c>
      <c r="F24" s="83" t="s">
        <v>27</v>
      </c>
      <c r="G24" s="84" t="s">
        <v>77</v>
      </c>
      <c r="H24" s="78">
        <v>1</v>
      </c>
      <c r="I24" s="83" t="s">
        <v>251</v>
      </c>
      <c r="J24" s="85" t="s">
        <v>79</v>
      </c>
      <c r="K24" s="88">
        <v>129363.95</v>
      </c>
      <c r="L24" s="88">
        <f>87047.1+46225.91</f>
        <v>133273.01</v>
      </c>
      <c r="M24" s="88">
        <v>28042.02</v>
      </c>
      <c r="N24" s="88"/>
      <c r="O24" s="88"/>
      <c r="P24" s="88"/>
      <c r="Q24" s="81">
        <f>SUM(K24:O24)</f>
        <v>290678.98000000004</v>
      </c>
      <c r="R24" s="344"/>
    </row>
    <row r="25" spans="1:19" s="44" customFormat="1" ht="92.25" customHeight="1" x14ac:dyDescent="0.25">
      <c r="A25" s="134"/>
      <c r="B25" s="336"/>
      <c r="C25" s="429"/>
      <c r="D25" s="69" t="s">
        <v>56</v>
      </c>
      <c r="E25" s="76" t="s">
        <v>74</v>
      </c>
      <c r="F25" s="83" t="s">
        <v>27</v>
      </c>
      <c r="G25" s="84" t="s">
        <v>77</v>
      </c>
      <c r="H25" s="78">
        <v>1</v>
      </c>
      <c r="I25" s="83" t="s">
        <v>251</v>
      </c>
      <c r="J25" s="85" t="s">
        <v>277</v>
      </c>
      <c r="K25" s="88">
        <v>39067.919999999998</v>
      </c>
      <c r="L25" s="88">
        <f>26288.22+13960.23</f>
        <v>40248.449999999997</v>
      </c>
      <c r="M25" s="88">
        <v>8468.69</v>
      </c>
      <c r="N25" s="88"/>
      <c r="O25" s="88"/>
      <c r="P25" s="88"/>
      <c r="Q25" s="81">
        <f t="shared" ref="Q25:Q43" si="7">SUM(K25:O25)</f>
        <v>87785.06</v>
      </c>
      <c r="R25" s="344"/>
    </row>
    <row r="26" spans="1:19" ht="194.25" customHeight="1" x14ac:dyDescent="0.25">
      <c r="A26" s="113"/>
      <c r="B26" s="337"/>
      <c r="C26" s="90" t="s">
        <v>139</v>
      </c>
      <c r="D26" s="91" t="s">
        <v>56</v>
      </c>
      <c r="E26" s="92" t="s">
        <v>74</v>
      </c>
      <c r="F26" s="93" t="s">
        <v>27</v>
      </c>
      <c r="G26" s="94" t="s">
        <v>77</v>
      </c>
      <c r="H26" s="95">
        <v>1</v>
      </c>
      <c r="I26" s="93" t="s">
        <v>252</v>
      </c>
      <c r="J26" s="73" t="s">
        <v>79</v>
      </c>
      <c r="K26" s="96">
        <v>1306.71</v>
      </c>
      <c r="L26" s="96">
        <f>1371.86+88</f>
        <v>1459.86</v>
      </c>
      <c r="M26" s="96">
        <v>138.61000000000001</v>
      </c>
      <c r="N26" s="96"/>
      <c r="O26" s="96"/>
      <c r="P26" s="96"/>
      <c r="Q26" s="81">
        <f t="shared" si="7"/>
        <v>2905.18</v>
      </c>
      <c r="R26" s="339"/>
    </row>
    <row r="27" spans="1:19" s="47" customFormat="1" ht="143.25" customHeight="1" x14ac:dyDescent="0.25">
      <c r="A27" s="89"/>
      <c r="B27" s="89"/>
      <c r="C27" s="90" t="s">
        <v>139</v>
      </c>
      <c r="D27" s="91" t="s">
        <v>56</v>
      </c>
      <c r="E27" s="92" t="s">
        <v>74</v>
      </c>
      <c r="F27" s="93" t="s">
        <v>27</v>
      </c>
      <c r="G27" s="94" t="s">
        <v>77</v>
      </c>
      <c r="H27" s="95">
        <v>1</v>
      </c>
      <c r="I27" s="93" t="s">
        <v>252</v>
      </c>
      <c r="J27" s="73" t="s">
        <v>277</v>
      </c>
      <c r="K27" s="96">
        <v>394.63</v>
      </c>
      <c r="L27" s="96">
        <f>414.3+26.58</f>
        <v>440.88</v>
      </c>
      <c r="M27" s="96">
        <v>41.86</v>
      </c>
      <c r="N27" s="96"/>
      <c r="O27" s="96"/>
      <c r="P27" s="96"/>
      <c r="Q27" s="81">
        <f t="shared" ref="Q27" si="8">SUM(K27:O27)</f>
        <v>877.37</v>
      </c>
      <c r="R27" s="97"/>
    </row>
    <row r="28" spans="1:19" s="51" customFormat="1" ht="111" customHeight="1" x14ac:dyDescent="0.25">
      <c r="A28" s="89"/>
      <c r="B28" s="82"/>
      <c r="C28" s="290" t="s">
        <v>140</v>
      </c>
      <c r="D28" s="91" t="s">
        <v>56</v>
      </c>
      <c r="E28" s="92" t="s">
        <v>74</v>
      </c>
      <c r="F28" s="93" t="s">
        <v>27</v>
      </c>
      <c r="G28" s="94" t="s">
        <v>77</v>
      </c>
      <c r="H28" s="95">
        <v>1</v>
      </c>
      <c r="I28" s="93" t="s">
        <v>258</v>
      </c>
      <c r="J28" s="73" t="s">
        <v>79</v>
      </c>
      <c r="K28" s="96"/>
      <c r="L28" s="96"/>
      <c r="M28" s="96">
        <v>22877.15</v>
      </c>
      <c r="N28" s="96"/>
      <c r="O28" s="96"/>
      <c r="P28" s="96"/>
      <c r="Q28" s="96">
        <f>K28+L28+M28+N28+O28</f>
        <v>22877.15</v>
      </c>
      <c r="R28" s="105"/>
    </row>
    <row r="29" spans="1:19" s="51" customFormat="1" ht="119.25" customHeight="1" x14ac:dyDescent="0.25">
      <c r="A29" s="89"/>
      <c r="B29" s="82"/>
      <c r="C29" s="290" t="s">
        <v>140</v>
      </c>
      <c r="D29" s="91" t="s">
        <v>56</v>
      </c>
      <c r="E29" s="92" t="s">
        <v>74</v>
      </c>
      <c r="F29" s="93" t="s">
        <v>27</v>
      </c>
      <c r="G29" s="94" t="s">
        <v>77</v>
      </c>
      <c r="H29" s="95">
        <v>1</v>
      </c>
      <c r="I29" s="93" t="s">
        <v>258</v>
      </c>
      <c r="J29" s="73" t="s">
        <v>277</v>
      </c>
      <c r="K29" s="96"/>
      <c r="L29" s="96"/>
      <c r="M29" s="96">
        <v>6908.9</v>
      </c>
      <c r="N29" s="96"/>
      <c r="O29" s="96"/>
      <c r="P29" s="96"/>
      <c r="Q29" s="96">
        <f>K29+L29+M29+N29+O29</f>
        <v>6908.9</v>
      </c>
      <c r="R29" s="105"/>
    </row>
    <row r="30" spans="1:19" ht="137.25" customHeight="1" x14ac:dyDescent="0.25">
      <c r="A30" s="107" t="s">
        <v>54</v>
      </c>
      <c r="B30" s="107"/>
      <c r="C30" s="303" t="s">
        <v>120</v>
      </c>
      <c r="D30" s="91" t="s">
        <v>56</v>
      </c>
      <c r="E30" s="73" t="s">
        <v>74</v>
      </c>
      <c r="F30" s="73" t="s">
        <v>27</v>
      </c>
      <c r="G30" s="74" t="s">
        <v>77</v>
      </c>
      <c r="H30" s="110">
        <v>1</v>
      </c>
      <c r="I30" s="111" t="s">
        <v>244</v>
      </c>
      <c r="J30" s="73" t="s">
        <v>28</v>
      </c>
      <c r="K30" s="96">
        <f>5560+230+1160</f>
        <v>6950</v>
      </c>
      <c r="L30" s="96">
        <f>6120+236+6800</f>
        <v>13156</v>
      </c>
      <c r="M30" s="96">
        <f>13700</f>
        <v>13700</v>
      </c>
      <c r="N30" s="96"/>
      <c r="O30" s="96">
        <v>13700</v>
      </c>
      <c r="P30" s="96">
        <v>13700</v>
      </c>
      <c r="Q30" s="81">
        <f>SUM(K30:P30)</f>
        <v>61206</v>
      </c>
      <c r="R30" s="112" t="s">
        <v>161</v>
      </c>
    </row>
    <row r="31" spans="1:19" ht="112.5" customHeight="1" x14ac:dyDescent="0.25">
      <c r="A31" s="113" t="s">
        <v>57</v>
      </c>
      <c r="B31" s="113"/>
      <c r="C31" s="109" t="s">
        <v>121</v>
      </c>
      <c r="D31" s="91" t="s">
        <v>56</v>
      </c>
      <c r="E31" s="92" t="s">
        <v>74</v>
      </c>
      <c r="F31" s="93" t="s">
        <v>27</v>
      </c>
      <c r="G31" s="94" t="s">
        <v>77</v>
      </c>
      <c r="H31" s="95">
        <v>1</v>
      </c>
      <c r="I31" s="114" t="s">
        <v>242</v>
      </c>
      <c r="J31" s="93" t="s">
        <v>28</v>
      </c>
      <c r="K31" s="96">
        <v>370000</v>
      </c>
      <c r="L31" s="96">
        <v>370000</v>
      </c>
      <c r="M31" s="96">
        <v>370000</v>
      </c>
      <c r="N31" s="96">
        <v>370000</v>
      </c>
      <c r="O31" s="96">
        <v>370000</v>
      </c>
      <c r="P31" s="96">
        <v>370000</v>
      </c>
      <c r="Q31" s="81">
        <f>SUM(K31:P31)</f>
        <v>2220000</v>
      </c>
      <c r="R31" s="112"/>
    </row>
    <row r="32" spans="1:19" ht="183" customHeight="1" x14ac:dyDescent="0.25">
      <c r="A32" s="113" t="s">
        <v>103</v>
      </c>
      <c r="B32" s="113"/>
      <c r="C32" s="115" t="s">
        <v>302</v>
      </c>
      <c r="D32" s="69" t="s">
        <v>56</v>
      </c>
      <c r="E32" s="76" t="s">
        <v>74</v>
      </c>
      <c r="F32" s="83" t="s">
        <v>27</v>
      </c>
      <c r="G32" s="84" t="s">
        <v>77</v>
      </c>
      <c r="H32" s="78">
        <v>1</v>
      </c>
      <c r="I32" s="116" t="s">
        <v>253</v>
      </c>
      <c r="J32" s="83" t="s">
        <v>28</v>
      </c>
      <c r="K32" s="81">
        <f>27800-6800</f>
        <v>21000</v>
      </c>
      <c r="L32" s="81">
        <f>30600-7700+27200</f>
        <v>50100</v>
      </c>
      <c r="M32" s="81">
        <v>41100</v>
      </c>
      <c r="N32" s="81"/>
      <c r="O32" s="81"/>
      <c r="P32" s="81"/>
      <c r="Q32" s="81">
        <f>SUM(K32:O32)</f>
        <v>112200</v>
      </c>
      <c r="R32" s="112"/>
    </row>
    <row r="33" spans="1:19" s="56" customFormat="1" ht="188.25" customHeight="1" x14ac:dyDescent="0.25">
      <c r="A33" s="113" t="s">
        <v>160</v>
      </c>
      <c r="B33" s="113"/>
      <c r="C33" s="383" t="s">
        <v>303</v>
      </c>
      <c r="D33" s="69" t="s">
        <v>56</v>
      </c>
      <c r="E33" s="76" t="s">
        <v>74</v>
      </c>
      <c r="F33" s="83" t="s">
        <v>27</v>
      </c>
      <c r="G33" s="84" t="s">
        <v>77</v>
      </c>
      <c r="H33" s="78">
        <v>1</v>
      </c>
      <c r="I33" s="116" t="s">
        <v>304</v>
      </c>
      <c r="J33" s="83" t="s">
        <v>28</v>
      </c>
      <c r="K33" s="81"/>
      <c r="L33" s="81"/>
      <c r="M33" s="81"/>
      <c r="N33" s="81">
        <f>41300</f>
        <v>41300</v>
      </c>
      <c r="O33" s="81"/>
      <c r="P33" s="81"/>
      <c r="Q33" s="81">
        <f>SUM(K33:O33)</f>
        <v>41300</v>
      </c>
      <c r="R33" s="112"/>
    </row>
    <row r="34" spans="1:19" ht="131.25" customHeight="1" x14ac:dyDescent="0.25">
      <c r="A34" s="113" t="s">
        <v>172</v>
      </c>
      <c r="B34" s="113"/>
      <c r="C34" s="288" t="s">
        <v>167</v>
      </c>
      <c r="D34" s="69" t="s">
        <v>56</v>
      </c>
      <c r="E34" s="76" t="s">
        <v>74</v>
      </c>
      <c r="F34" s="83" t="s">
        <v>27</v>
      </c>
      <c r="G34" s="84" t="s">
        <v>77</v>
      </c>
      <c r="H34" s="78">
        <v>1</v>
      </c>
      <c r="I34" s="114" t="s">
        <v>245</v>
      </c>
      <c r="J34" s="83" t="s">
        <v>28</v>
      </c>
      <c r="K34" s="81">
        <v>0</v>
      </c>
      <c r="L34" s="81">
        <f>3300-300</f>
        <v>3000</v>
      </c>
      <c r="M34" s="81">
        <f>2500-300</f>
        <v>2200</v>
      </c>
      <c r="N34" s="81"/>
      <c r="O34" s="81">
        <v>0</v>
      </c>
      <c r="P34" s="81"/>
      <c r="Q34" s="81">
        <f t="shared" si="7"/>
        <v>5200</v>
      </c>
      <c r="R34" s="112"/>
    </row>
    <row r="35" spans="1:19" s="56" customFormat="1" ht="189.75" customHeight="1" x14ac:dyDescent="0.25">
      <c r="A35" s="113" t="s">
        <v>196</v>
      </c>
      <c r="B35" s="113"/>
      <c r="C35" s="383" t="s">
        <v>303</v>
      </c>
      <c r="D35" s="69" t="s">
        <v>56</v>
      </c>
      <c r="E35" s="76" t="s">
        <v>74</v>
      </c>
      <c r="F35" s="83" t="s">
        <v>27</v>
      </c>
      <c r="G35" s="84" t="s">
        <v>77</v>
      </c>
      <c r="H35" s="78">
        <v>1</v>
      </c>
      <c r="I35" s="114" t="s">
        <v>304</v>
      </c>
      <c r="J35" s="83" t="s">
        <v>28</v>
      </c>
      <c r="K35" s="81"/>
      <c r="L35" s="81"/>
      <c r="M35" s="81"/>
      <c r="N35" s="81">
        <f>2100</f>
        <v>2100</v>
      </c>
      <c r="O35" s="81"/>
      <c r="P35" s="81"/>
      <c r="Q35" s="81">
        <f t="shared" si="7"/>
        <v>2100</v>
      </c>
      <c r="R35" s="112"/>
    </row>
    <row r="36" spans="1:19" s="24" customFormat="1" ht="187.5" customHeight="1" x14ac:dyDescent="0.25">
      <c r="A36" s="113" t="s">
        <v>230</v>
      </c>
      <c r="B36" s="113"/>
      <c r="C36" s="115" t="s">
        <v>171</v>
      </c>
      <c r="D36" s="69" t="s">
        <v>56</v>
      </c>
      <c r="E36" s="76" t="s">
        <v>74</v>
      </c>
      <c r="F36" s="76" t="s">
        <v>27</v>
      </c>
      <c r="G36" s="77" t="s">
        <v>77</v>
      </c>
      <c r="H36" s="78">
        <v>1</v>
      </c>
      <c r="I36" s="83" t="s">
        <v>254</v>
      </c>
      <c r="J36" s="76" t="s">
        <v>79</v>
      </c>
      <c r="K36" s="81">
        <v>4112.6400000000003</v>
      </c>
      <c r="L36" s="81"/>
      <c r="M36" s="81"/>
      <c r="N36" s="81"/>
      <c r="O36" s="81"/>
      <c r="P36" s="81"/>
      <c r="Q36" s="81">
        <f t="shared" si="7"/>
        <v>4112.6400000000003</v>
      </c>
      <c r="R36" s="112"/>
    </row>
    <row r="37" spans="1:19" s="47" customFormat="1" ht="131.25" customHeight="1" x14ac:dyDescent="0.25">
      <c r="A37" s="337" t="s">
        <v>278</v>
      </c>
      <c r="B37" s="113"/>
      <c r="C37" s="115" t="s">
        <v>171</v>
      </c>
      <c r="D37" s="69" t="s">
        <v>56</v>
      </c>
      <c r="E37" s="76" t="s">
        <v>74</v>
      </c>
      <c r="F37" s="76" t="s">
        <v>27</v>
      </c>
      <c r="G37" s="77" t="s">
        <v>77</v>
      </c>
      <c r="H37" s="78">
        <v>1</v>
      </c>
      <c r="I37" s="83" t="s">
        <v>254</v>
      </c>
      <c r="J37" s="76" t="s">
        <v>277</v>
      </c>
      <c r="K37" s="81">
        <v>1242.02</v>
      </c>
      <c r="L37" s="81"/>
      <c r="M37" s="81"/>
      <c r="N37" s="81"/>
      <c r="O37" s="81"/>
      <c r="P37" s="81"/>
      <c r="Q37" s="81">
        <f t="shared" ref="Q37" si="9">SUM(K37:O37)</f>
        <v>1242.02</v>
      </c>
      <c r="R37" s="112"/>
    </row>
    <row r="38" spans="1:19" s="32" customFormat="1" ht="117" customHeight="1" x14ac:dyDescent="0.25">
      <c r="A38" s="337" t="s">
        <v>295</v>
      </c>
      <c r="B38" s="113"/>
      <c r="C38" s="287" t="s">
        <v>197</v>
      </c>
      <c r="D38" s="69" t="s">
        <v>56</v>
      </c>
      <c r="E38" s="76" t="s">
        <v>74</v>
      </c>
      <c r="F38" s="76" t="s">
        <v>27</v>
      </c>
      <c r="G38" s="77" t="s">
        <v>77</v>
      </c>
      <c r="H38" s="78">
        <v>1</v>
      </c>
      <c r="I38" s="83" t="s">
        <v>255</v>
      </c>
      <c r="J38" s="76" t="s">
        <v>28</v>
      </c>
      <c r="K38" s="81"/>
      <c r="L38" s="81">
        <v>3300</v>
      </c>
      <c r="M38" s="81">
        <v>250</v>
      </c>
      <c r="N38" s="81"/>
      <c r="O38" s="81">
        <v>260</v>
      </c>
      <c r="P38" s="81">
        <v>260</v>
      </c>
      <c r="Q38" s="81">
        <f>SUM(K38:P38)</f>
        <v>4070</v>
      </c>
      <c r="R38" s="112"/>
    </row>
    <row r="39" spans="1:19" s="36" customFormat="1" ht="60.75" customHeight="1" x14ac:dyDescent="0.25">
      <c r="A39" s="337" t="s">
        <v>296</v>
      </c>
      <c r="B39" s="113"/>
      <c r="C39" s="358" t="s">
        <v>231</v>
      </c>
      <c r="D39" s="69" t="s">
        <v>56</v>
      </c>
      <c r="E39" s="76" t="s">
        <v>74</v>
      </c>
      <c r="F39" s="76" t="s">
        <v>27</v>
      </c>
      <c r="G39" s="77" t="s">
        <v>77</v>
      </c>
      <c r="H39" s="78">
        <v>1</v>
      </c>
      <c r="I39" s="83" t="s">
        <v>256</v>
      </c>
      <c r="J39" s="76" t="s">
        <v>28</v>
      </c>
      <c r="K39" s="81"/>
      <c r="L39" s="81">
        <v>116125</v>
      </c>
      <c r="M39" s="81"/>
      <c r="N39" s="81"/>
      <c r="O39" s="81"/>
      <c r="P39" s="81"/>
      <c r="Q39" s="81">
        <f t="shared" si="7"/>
        <v>116125</v>
      </c>
      <c r="R39" s="112"/>
    </row>
    <row r="40" spans="1:19" s="39" customFormat="1" ht="131.25" customHeight="1" x14ac:dyDescent="0.25">
      <c r="A40" s="337" t="s">
        <v>305</v>
      </c>
      <c r="B40" s="113"/>
      <c r="C40" s="302" t="s">
        <v>240</v>
      </c>
      <c r="D40" s="91" t="s">
        <v>56</v>
      </c>
      <c r="E40" s="92" t="s">
        <v>74</v>
      </c>
      <c r="F40" s="93" t="s">
        <v>27</v>
      </c>
      <c r="G40" s="94" t="s">
        <v>77</v>
      </c>
      <c r="H40" s="95">
        <v>1</v>
      </c>
      <c r="I40" s="114" t="s">
        <v>257</v>
      </c>
      <c r="J40" s="93" t="s">
        <v>28</v>
      </c>
      <c r="K40" s="81"/>
      <c r="L40" s="81">
        <v>200000</v>
      </c>
      <c r="M40" s="81"/>
      <c r="N40" s="81"/>
      <c r="O40" s="81"/>
      <c r="P40" s="81"/>
      <c r="Q40" s="81">
        <f t="shared" si="7"/>
        <v>200000</v>
      </c>
      <c r="R40" s="112"/>
    </row>
    <row r="41" spans="1:19" s="56" customFormat="1" ht="111" customHeight="1" x14ac:dyDescent="0.25">
      <c r="A41" s="450" t="s">
        <v>309</v>
      </c>
      <c r="B41" s="450"/>
      <c r="C41" s="488" t="s">
        <v>308</v>
      </c>
      <c r="D41" s="425" t="s">
        <v>56</v>
      </c>
      <c r="E41" s="92" t="s">
        <v>74</v>
      </c>
      <c r="F41" s="93" t="s">
        <v>27</v>
      </c>
      <c r="G41" s="94" t="s">
        <v>77</v>
      </c>
      <c r="H41" s="95">
        <v>1</v>
      </c>
      <c r="I41" s="114" t="s">
        <v>310</v>
      </c>
      <c r="J41" s="93" t="s">
        <v>79</v>
      </c>
      <c r="K41" s="81"/>
      <c r="L41" s="81"/>
      <c r="M41" s="81"/>
      <c r="N41" s="81">
        <f>268817.2</f>
        <v>268817.2</v>
      </c>
      <c r="O41" s="81"/>
      <c r="P41" s="81"/>
      <c r="Q41" s="81">
        <f t="shared" si="7"/>
        <v>268817.2</v>
      </c>
      <c r="R41" s="112"/>
    </row>
    <row r="42" spans="1:19" s="56" customFormat="1" ht="109.5" customHeight="1" x14ac:dyDescent="0.25">
      <c r="A42" s="451"/>
      <c r="B42" s="451"/>
      <c r="C42" s="489"/>
      <c r="D42" s="427"/>
      <c r="E42" s="92" t="s">
        <v>74</v>
      </c>
      <c r="F42" s="93" t="s">
        <v>27</v>
      </c>
      <c r="G42" s="94" t="s">
        <v>77</v>
      </c>
      <c r="H42" s="95">
        <v>1</v>
      </c>
      <c r="I42" s="114" t="s">
        <v>310</v>
      </c>
      <c r="J42" s="93" t="s">
        <v>277</v>
      </c>
      <c r="K42" s="81"/>
      <c r="L42" s="81"/>
      <c r="M42" s="81"/>
      <c r="N42" s="81">
        <f>81182.8</f>
        <v>81182.8</v>
      </c>
      <c r="O42" s="81"/>
      <c r="P42" s="81"/>
      <c r="Q42" s="81">
        <f t="shared" si="7"/>
        <v>81182.8</v>
      </c>
      <c r="R42" s="112"/>
    </row>
    <row r="43" spans="1:19" s="56" customFormat="1" ht="136.5" customHeight="1" x14ac:dyDescent="0.25">
      <c r="A43" s="394" t="s">
        <v>315</v>
      </c>
      <c r="B43" s="394"/>
      <c r="C43" s="395" t="s">
        <v>120</v>
      </c>
      <c r="D43" s="396" t="s">
        <v>56</v>
      </c>
      <c r="E43" s="92" t="s">
        <v>74</v>
      </c>
      <c r="F43" s="93" t="s">
        <v>27</v>
      </c>
      <c r="G43" s="94" t="s">
        <v>77</v>
      </c>
      <c r="H43" s="95">
        <v>1</v>
      </c>
      <c r="I43" s="114" t="s">
        <v>314</v>
      </c>
      <c r="J43" s="93" t="s">
        <v>28</v>
      </c>
      <c r="K43" s="81"/>
      <c r="L43" s="81"/>
      <c r="M43" s="81"/>
      <c r="N43" s="81">
        <f>14001</f>
        <v>14001</v>
      </c>
      <c r="O43" s="81"/>
      <c r="P43" s="81"/>
      <c r="Q43" s="81">
        <f t="shared" si="7"/>
        <v>14001</v>
      </c>
      <c r="R43" s="112"/>
    </row>
    <row r="44" spans="1:19" ht="31.5" customHeight="1" x14ac:dyDescent="0.25">
      <c r="A44" s="73"/>
      <c r="B44" s="73"/>
      <c r="C44" s="115" t="s">
        <v>15</v>
      </c>
      <c r="D44" s="69"/>
      <c r="E44" s="115"/>
      <c r="F44" s="115"/>
      <c r="G44" s="77"/>
      <c r="H44" s="78"/>
      <c r="I44" s="71"/>
      <c r="J44" s="115"/>
      <c r="K44" s="81">
        <f t="shared" ref="K44:P44" si="10">SUM(K18:K40)</f>
        <v>7761783.0299999993</v>
      </c>
      <c r="L44" s="81">
        <f t="shared" si="10"/>
        <v>8209693.25</v>
      </c>
      <c r="M44" s="81">
        <f t="shared" si="10"/>
        <v>8063105.1600000011</v>
      </c>
      <c r="N44" s="81">
        <f>SUM(N18:N43)</f>
        <v>8241355.8200000003</v>
      </c>
      <c r="O44" s="81">
        <f t="shared" si="10"/>
        <v>7847955.8200000003</v>
      </c>
      <c r="P44" s="81">
        <f t="shared" si="10"/>
        <v>7847955.8200000003</v>
      </c>
      <c r="Q44" s="81">
        <f>SUM(K44:P44)</f>
        <v>47971848.899999999</v>
      </c>
      <c r="R44" s="91"/>
      <c r="S44" s="8"/>
    </row>
    <row r="45" spans="1:19" ht="18" customHeight="1" x14ac:dyDescent="0.25">
      <c r="A45" s="73" t="s">
        <v>16</v>
      </c>
      <c r="B45" s="74"/>
      <c r="C45" s="430" t="s">
        <v>71</v>
      </c>
      <c r="D45" s="431"/>
      <c r="E45" s="431"/>
      <c r="F45" s="431"/>
      <c r="G45" s="431"/>
      <c r="H45" s="431"/>
      <c r="I45" s="431"/>
      <c r="J45" s="431"/>
      <c r="K45" s="431"/>
      <c r="L45" s="431"/>
      <c r="M45" s="431"/>
      <c r="N45" s="431"/>
      <c r="O45" s="431"/>
      <c r="P45" s="431"/>
      <c r="Q45" s="432"/>
      <c r="R45" s="91"/>
    </row>
    <row r="46" spans="1:19" ht="165.75" customHeight="1" x14ac:dyDescent="0.25">
      <c r="A46" s="450" t="s">
        <v>17</v>
      </c>
      <c r="B46" s="118"/>
      <c r="C46" s="115" t="s">
        <v>122</v>
      </c>
      <c r="D46" s="69" t="s">
        <v>56</v>
      </c>
      <c r="E46" s="76" t="s">
        <v>74</v>
      </c>
      <c r="F46" s="76" t="s">
        <v>27</v>
      </c>
      <c r="G46" s="77" t="s">
        <v>77</v>
      </c>
      <c r="H46" s="78">
        <v>1</v>
      </c>
      <c r="I46" s="111" t="s">
        <v>243</v>
      </c>
      <c r="J46" s="76" t="s">
        <v>78</v>
      </c>
      <c r="K46" s="81">
        <f>2089586.88+21000-109173.01+61290+46791.28</f>
        <v>2109495.15</v>
      </c>
      <c r="L46" s="81">
        <v>2167494.23</v>
      </c>
      <c r="M46" s="81">
        <v>2282088.83</v>
      </c>
      <c r="N46" s="81">
        <v>2638085.84</v>
      </c>
      <c r="O46" s="81">
        <f>N46</f>
        <v>2638085.84</v>
      </c>
      <c r="P46" s="81">
        <f>O46</f>
        <v>2638085.84</v>
      </c>
      <c r="Q46" s="81">
        <f>SUM(K46:P46)</f>
        <v>14473335.73</v>
      </c>
      <c r="R46" s="425" t="s">
        <v>81</v>
      </c>
    </row>
    <row r="47" spans="1:19" ht="134.25" customHeight="1" x14ac:dyDescent="0.25">
      <c r="A47" s="452"/>
      <c r="B47" s="119"/>
      <c r="C47" s="115" t="s">
        <v>138</v>
      </c>
      <c r="D47" s="69" t="s">
        <v>56</v>
      </c>
      <c r="E47" s="83" t="s">
        <v>74</v>
      </c>
      <c r="F47" s="83" t="s">
        <v>27</v>
      </c>
      <c r="G47" s="84" t="s">
        <v>77</v>
      </c>
      <c r="H47" s="78">
        <v>1</v>
      </c>
      <c r="I47" s="83" t="s">
        <v>251</v>
      </c>
      <c r="J47" s="83" t="s">
        <v>78</v>
      </c>
      <c r="K47" s="81">
        <f>108081.28-46791.28+9459.03</f>
        <v>70749.03</v>
      </c>
      <c r="L47" s="81">
        <v>106357.97</v>
      </c>
      <c r="M47" s="81">
        <v>14532.72</v>
      </c>
      <c r="N47" s="81"/>
      <c r="O47" s="81"/>
      <c r="P47" s="81"/>
      <c r="Q47" s="81">
        <f t="shared" ref="Q47:Q51" si="11">SUM(K47:O47)</f>
        <v>191639.72</v>
      </c>
      <c r="R47" s="426"/>
    </row>
    <row r="48" spans="1:19" ht="163.5" customHeight="1" x14ac:dyDescent="0.25">
      <c r="A48" s="451"/>
      <c r="B48" s="120"/>
      <c r="C48" s="115" t="s">
        <v>139</v>
      </c>
      <c r="D48" s="69" t="s">
        <v>56</v>
      </c>
      <c r="E48" s="83" t="s">
        <v>74</v>
      </c>
      <c r="F48" s="83" t="s">
        <v>27</v>
      </c>
      <c r="G48" s="84" t="s">
        <v>77</v>
      </c>
      <c r="H48" s="78">
        <v>1</v>
      </c>
      <c r="I48" s="83" t="s">
        <v>252</v>
      </c>
      <c r="J48" s="83" t="s">
        <v>78</v>
      </c>
      <c r="K48" s="81">
        <v>1091.73</v>
      </c>
      <c r="L48" s="81">
        <v>1074.32</v>
      </c>
      <c r="M48" s="81">
        <v>156.94</v>
      </c>
      <c r="N48" s="81"/>
      <c r="O48" s="81"/>
      <c r="P48" s="81"/>
      <c r="Q48" s="81">
        <f t="shared" si="11"/>
        <v>2322.9900000000002</v>
      </c>
      <c r="R48" s="427"/>
    </row>
    <row r="49" spans="1:19" ht="81.75" customHeight="1" x14ac:dyDescent="0.25">
      <c r="A49" s="73" t="s">
        <v>72</v>
      </c>
      <c r="B49" s="73"/>
      <c r="C49" s="115" t="s">
        <v>129</v>
      </c>
      <c r="D49" s="69" t="s">
        <v>56</v>
      </c>
      <c r="E49" s="76" t="s">
        <v>74</v>
      </c>
      <c r="F49" s="76" t="s">
        <v>27</v>
      </c>
      <c r="G49" s="77" t="s">
        <v>77</v>
      </c>
      <c r="H49" s="78">
        <v>1</v>
      </c>
      <c r="I49" s="83" t="s">
        <v>246</v>
      </c>
      <c r="J49" s="76" t="s">
        <v>80</v>
      </c>
      <c r="K49" s="81">
        <v>12000</v>
      </c>
      <c r="L49" s="81">
        <v>0</v>
      </c>
      <c r="M49" s="81">
        <v>0</v>
      </c>
      <c r="N49" s="81"/>
      <c r="O49" s="81"/>
      <c r="P49" s="81"/>
      <c r="Q49" s="81">
        <f t="shared" si="11"/>
        <v>12000</v>
      </c>
      <c r="R49" s="90" t="s">
        <v>130</v>
      </c>
    </row>
    <row r="50" spans="1:19" ht="197.25" customHeight="1" x14ac:dyDescent="0.25">
      <c r="A50" s="73" t="s">
        <v>73</v>
      </c>
      <c r="B50" s="73"/>
      <c r="C50" s="115" t="s">
        <v>171</v>
      </c>
      <c r="D50" s="69" t="s">
        <v>56</v>
      </c>
      <c r="E50" s="76" t="s">
        <v>74</v>
      </c>
      <c r="F50" s="76" t="s">
        <v>27</v>
      </c>
      <c r="G50" s="77" t="s">
        <v>77</v>
      </c>
      <c r="H50" s="78">
        <v>1</v>
      </c>
      <c r="I50" s="83" t="s">
        <v>254</v>
      </c>
      <c r="J50" s="76" t="s">
        <v>78</v>
      </c>
      <c r="K50" s="81">
        <v>2593.52</v>
      </c>
      <c r="L50" s="81"/>
      <c r="M50" s="81"/>
      <c r="N50" s="81"/>
      <c r="O50" s="81"/>
      <c r="P50" s="81"/>
      <c r="Q50" s="81">
        <f t="shared" si="11"/>
        <v>2593.52</v>
      </c>
      <c r="R50" s="90"/>
    </row>
    <row r="51" spans="1:19" s="56" customFormat="1" ht="237.75" customHeight="1" x14ac:dyDescent="0.25">
      <c r="A51" s="390" t="s">
        <v>311</v>
      </c>
      <c r="B51" s="390"/>
      <c r="C51" s="115" t="s">
        <v>308</v>
      </c>
      <c r="D51" s="69" t="s">
        <v>56</v>
      </c>
      <c r="E51" s="76" t="s">
        <v>74</v>
      </c>
      <c r="F51" s="76" t="s">
        <v>27</v>
      </c>
      <c r="G51" s="77" t="s">
        <v>77</v>
      </c>
      <c r="H51" s="78">
        <v>1</v>
      </c>
      <c r="I51" s="83" t="s">
        <v>310</v>
      </c>
      <c r="J51" s="76" t="s">
        <v>78</v>
      </c>
      <c r="K51" s="81"/>
      <c r="L51" s="81"/>
      <c r="M51" s="81"/>
      <c r="N51" s="81">
        <f>122000</f>
        <v>122000</v>
      </c>
      <c r="O51" s="81"/>
      <c r="P51" s="81"/>
      <c r="Q51" s="81">
        <f t="shared" si="11"/>
        <v>122000</v>
      </c>
      <c r="R51" s="90"/>
    </row>
    <row r="52" spans="1:19" ht="32.25" customHeight="1" x14ac:dyDescent="0.25">
      <c r="A52" s="73"/>
      <c r="B52" s="73"/>
      <c r="C52" s="115" t="s">
        <v>18</v>
      </c>
      <c r="D52" s="69"/>
      <c r="E52" s="115"/>
      <c r="F52" s="115"/>
      <c r="G52" s="77"/>
      <c r="H52" s="78"/>
      <c r="I52" s="71"/>
      <c r="J52" s="115"/>
      <c r="K52" s="81">
        <f t="shared" ref="K52:P52" si="12">SUM(K46:K50)</f>
        <v>2195929.4299999997</v>
      </c>
      <c r="L52" s="81">
        <f t="shared" si="12"/>
        <v>2274926.52</v>
      </c>
      <c r="M52" s="81">
        <f t="shared" si="12"/>
        <v>2296778.4900000002</v>
      </c>
      <c r="N52" s="81">
        <f>SUM(N46:N51)</f>
        <v>2760085.84</v>
      </c>
      <c r="O52" s="81">
        <f t="shared" si="12"/>
        <v>2638085.84</v>
      </c>
      <c r="P52" s="81">
        <f t="shared" si="12"/>
        <v>2638085.84</v>
      </c>
      <c r="Q52" s="81">
        <f>SUM(K52:P52)</f>
        <v>14803891.959999999</v>
      </c>
      <c r="R52" s="91"/>
      <c r="S52" s="8"/>
    </row>
    <row r="53" spans="1:19" ht="45.75" customHeight="1" x14ac:dyDescent="0.25">
      <c r="A53" s="450" t="s">
        <v>16</v>
      </c>
      <c r="B53" s="108" t="s">
        <v>51</v>
      </c>
      <c r="C53" s="453" t="s">
        <v>143</v>
      </c>
      <c r="D53" s="69" t="s">
        <v>141</v>
      </c>
      <c r="E53" s="70"/>
      <c r="F53" s="70"/>
      <c r="G53" s="70"/>
      <c r="H53" s="70"/>
      <c r="I53" s="70"/>
      <c r="J53" s="70"/>
      <c r="K53" s="72">
        <f t="shared" ref="K53:P53" si="13">K74+K86+K103</f>
        <v>41738870.470000006</v>
      </c>
      <c r="L53" s="72">
        <f t="shared" si="13"/>
        <v>34136465.450000003</v>
      </c>
      <c r="M53" s="72">
        <f t="shared" si="13"/>
        <v>35072850.270000003</v>
      </c>
      <c r="N53" s="72">
        <f t="shared" si="13"/>
        <v>37053576.650000006</v>
      </c>
      <c r="O53" s="72">
        <f>O74+O86+O103</f>
        <v>33718876.650000006</v>
      </c>
      <c r="P53" s="72">
        <f t="shared" si="13"/>
        <v>33718876.650000006</v>
      </c>
      <c r="Q53" s="121">
        <f>SUM(K53:P53)</f>
        <v>215439516.14000005</v>
      </c>
      <c r="R53" s="91"/>
      <c r="S53" s="8"/>
    </row>
    <row r="54" spans="1:19" ht="17.25" customHeight="1" x14ac:dyDescent="0.25">
      <c r="A54" s="462"/>
      <c r="B54" s="338"/>
      <c r="C54" s="460"/>
      <c r="D54" s="69" t="s">
        <v>25</v>
      </c>
      <c r="E54" s="70"/>
      <c r="F54" s="70"/>
      <c r="G54" s="70"/>
      <c r="H54" s="70"/>
      <c r="I54" s="70"/>
      <c r="J54" s="70"/>
      <c r="K54" s="72"/>
      <c r="L54" s="70"/>
      <c r="M54" s="70"/>
      <c r="N54" s="70"/>
      <c r="O54" s="70"/>
      <c r="P54" s="70"/>
      <c r="Q54" s="121">
        <f t="shared" ref="Q54" si="14">SUM(K54:M54)</f>
        <v>0</v>
      </c>
      <c r="R54" s="91"/>
      <c r="S54" s="8"/>
    </row>
    <row r="55" spans="1:19" ht="48" customHeight="1" x14ac:dyDescent="0.25">
      <c r="A55" s="462"/>
      <c r="B55" s="338"/>
      <c r="C55" s="460"/>
      <c r="D55" s="69" t="s">
        <v>190</v>
      </c>
      <c r="E55" s="70" t="s">
        <v>48</v>
      </c>
      <c r="F55" s="70" t="s">
        <v>48</v>
      </c>
      <c r="G55" s="70" t="s">
        <v>48</v>
      </c>
      <c r="H55" s="70" t="s">
        <v>48</v>
      </c>
      <c r="I55" s="70" t="s">
        <v>48</v>
      </c>
      <c r="J55" s="70" t="s">
        <v>48</v>
      </c>
      <c r="K55" s="72">
        <f>6181600</f>
        <v>6181600</v>
      </c>
      <c r="L55" s="72">
        <v>0</v>
      </c>
      <c r="M55" s="72">
        <v>0</v>
      </c>
      <c r="N55" s="72">
        <f>N100</f>
        <v>2112480</v>
      </c>
      <c r="O55" s="72"/>
      <c r="P55" s="72"/>
      <c r="Q55" s="121">
        <f>SUM(K55:N55)</f>
        <v>8294080</v>
      </c>
      <c r="R55" s="91"/>
      <c r="S55" s="8"/>
    </row>
    <row r="56" spans="1:19" ht="51" customHeight="1" x14ac:dyDescent="0.25">
      <c r="A56" s="463"/>
      <c r="B56" s="339"/>
      <c r="C56" s="454"/>
      <c r="D56" s="69" t="s">
        <v>191</v>
      </c>
      <c r="E56" s="70" t="s">
        <v>48</v>
      </c>
      <c r="F56" s="70" t="s">
        <v>48</v>
      </c>
      <c r="G56" s="70" t="s">
        <v>48</v>
      </c>
      <c r="H56" s="70" t="s">
        <v>48</v>
      </c>
      <c r="I56" s="70" t="s">
        <v>48</v>
      </c>
      <c r="J56" s="70" t="s">
        <v>48</v>
      </c>
      <c r="K56" s="72">
        <f>556913.66+125691.96+1860000+197569.99</f>
        <v>2740175.6100000003</v>
      </c>
      <c r="L56" s="72">
        <f>L60+L66+L62+L79</f>
        <v>1479370.68</v>
      </c>
      <c r="M56" s="72">
        <f>M79+M81+M82+M60+M66+M62+M68</f>
        <v>1291232.52</v>
      </c>
      <c r="N56" s="72">
        <f>N101</f>
        <v>234720</v>
      </c>
      <c r="O56" s="72"/>
      <c r="P56" s="72"/>
      <c r="Q56" s="121">
        <f>SUM(K56:N56)</f>
        <v>5745498.8100000005</v>
      </c>
      <c r="R56" s="91" t="s">
        <v>158</v>
      </c>
      <c r="S56" s="8"/>
    </row>
    <row r="57" spans="1:19" ht="60" customHeight="1" x14ac:dyDescent="0.25">
      <c r="A57" s="73"/>
      <c r="B57" s="339"/>
      <c r="C57" s="70"/>
      <c r="D57" s="69" t="s">
        <v>192</v>
      </c>
      <c r="E57" s="70" t="s">
        <v>48</v>
      </c>
      <c r="F57" s="70" t="s">
        <v>48</v>
      </c>
      <c r="G57" s="70" t="s">
        <v>48</v>
      </c>
      <c r="H57" s="70" t="s">
        <v>48</v>
      </c>
      <c r="I57" s="70" t="s">
        <v>48</v>
      </c>
      <c r="J57" s="70" t="s">
        <v>48</v>
      </c>
      <c r="K57" s="72">
        <f>K53-K56-K55</f>
        <v>32817094.860000007</v>
      </c>
      <c r="L57" s="72">
        <f>L53-L56</f>
        <v>32657094.770000003</v>
      </c>
      <c r="M57" s="72">
        <f>M53-M56</f>
        <v>33781617.75</v>
      </c>
      <c r="N57" s="72">
        <f>N53-N56-N55</f>
        <v>34706376.650000006</v>
      </c>
      <c r="O57" s="72">
        <f>O53-O56</f>
        <v>33718876.650000006</v>
      </c>
      <c r="P57" s="72">
        <f>P53-P56</f>
        <v>33718876.650000006</v>
      </c>
      <c r="Q57" s="121">
        <f>SUM(K57:P57)</f>
        <v>201399937.33000001</v>
      </c>
      <c r="R57" s="68"/>
      <c r="S57" s="8"/>
    </row>
    <row r="58" spans="1:19" s="11" customFormat="1" ht="15" customHeight="1" x14ac:dyDescent="0.25">
      <c r="A58" s="73" t="s">
        <v>13</v>
      </c>
      <c r="B58" s="74"/>
      <c r="C58" s="430" t="s">
        <v>55</v>
      </c>
      <c r="D58" s="431"/>
      <c r="E58" s="431"/>
      <c r="F58" s="431"/>
      <c r="G58" s="431"/>
      <c r="H58" s="431"/>
      <c r="I58" s="431"/>
      <c r="J58" s="431"/>
      <c r="K58" s="431"/>
      <c r="L58" s="431"/>
      <c r="M58" s="431"/>
      <c r="N58" s="431"/>
      <c r="O58" s="431"/>
      <c r="P58" s="431"/>
      <c r="Q58" s="432"/>
      <c r="R58" s="68"/>
    </row>
    <row r="59" spans="1:19" ht="132" customHeight="1" x14ac:dyDescent="0.25">
      <c r="A59" s="108" t="s">
        <v>30</v>
      </c>
      <c r="B59" s="118"/>
      <c r="C59" s="115" t="s">
        <v>112</v>
      </c>
      <c r="D59" s="115" t="s">
        <v>56</v>
      </c>
      <c r="E59" s="76" t="s">
        <v>74</v>
      </c>
      <c r="F59" s="76" t="s">
        <v>27</v>
      </c>
      <c r="G59" s="77" t="s">
        <v>77</v>
      </c>
      <c r="H59" s="78">
        <v>2</v>
      </c>
      <c r="I59" s="111" t="s">
        <v>243</v>
      </c>
      <c r="J59" s="76" t="s">
        <v>78</v>
      </c>
      <c r="K59" s="81">
        <f>24664296.64-816087.14-125691.96+75619+512753.06+295173.21</f>
        <v>24606062.809999999</v>
      </c>
      <c r="L59" s="81">
        <v>25950759.199999999</v>
      </c>
      <c r="M59" s="81">
        <v>27293234.120000001</v>
      </c>
      <c r="N59" s="81">
        <v>27438036.940000001</v>
      </c>
      <c r="O59" s="81">
        <f>N59</f>
        <v>27438036.940000001</v>
      </c>
      <c r="P59" s="81">
        <f>O59</f>
        <v>27438036.940000001</v>
      </c>
      <c r="Q59" s="81">
        <f>SUM(K59:P59)</f>
        <v>160164166.94999999</v>
      </c>
      <c r="R59" s="342" t="s">
        <v>84</v>
      </c>
    </row>
    <row r="60" spans="1:19" ht="216.75" customHeight="1" x14ac:dyDescent="0.25">
      <c r="A60" s="134"/>
      <c r="B60" s="119"/>
      <c r="C60" s="115" t="s">
        <v>138</v>
      </c>
      <c r="D60" s="115" t="s">
        <v>56</v>
      </c>
      <c r="E60" s="76" t="s">
        <v>74</v>
      </c>
      <c r="F60" s="76" t="s">
        <v>27</v>
      </c>
      <c r="G60" s="77" t="s">
        <v>77</v>
      </c>
      <c r="H60" s="84" t="s">
        <v>16</v>
      </c>
      <c r="I60" s="83" t="s">
        <v>251</v>
      </c>
      <c r="J60" s="76" t="s">
        <v>78</v>
      </c>
      <c r="K60" s="81">
        <f>807926.27-295173.21+60134.56</f>
        <v>572887.62</v>
      </c>
      <c r="L60" s="81">
        <v>882697.37</v>
      </c>
      <c r="M60" s="81">
        <v>184852.22</v>
      </c>
      <c r="N60" s="81"/>
      <c r="O60" s="81"/>
      <c r="P60" s="81"/>
      <c r="Q60" s="81">
        <f t="shared" ref="Q60:Q73" si="15">SUM(K60:O60)</f>
        <v>1640437.21</v>
      </c>
      <c r="R60" s="448"/>
    </row>
    <row r="61" spans="1:19" ht="235.5" customHeight="1" x14ac:dyDescent="0.25">
      <c r="A61" s="134"/>
      <c r="B61" s="119"/>
      <c r="C61" s="115" t="s">
        <v>139</v>
      </c>
      <c r="D61" s="115" t="s">
        <v>56</v>
      </c>
      <c r="E61" s="76" t="s">
        <v>74</v>
      </c>
      <c r="F61" s="83" t="s">
        <v>27</v>
      </c>
      <c r="G61" s="84" t="s">
        <v>77</v>
      </c>
      <c r="H61" s="84" t="s">
        <v>16</v>
      </c>
      <c r="I61" s="83" t="s">
        <v>252</v>
      </c>
      <c r="J61" s="83" t="s">
        <v>78</v>
      </c>
      <c r="K61" s="81">
        <v>8160.87</v>
      </c>
      <c r="L61" s="81">
        <v>8916.14</v>
      </c>
      <c r="M61" s="81">
        <v>1989.78</v>
      </c>
      <c r="N61" s="81"/>
      <c r="O61" s="81"/>
      <c r="P61" s="81"/>
      <c r="Q61" s="81">
        <f t="shared" si="15"/>
        <v>19066.789999999997</v>
      </c>
      <c r="R61" s="448"/>
    </row>
    <row r="62" spans="1:19" ht="105" x14ac:dyDescent="0.25">
      <c r="A62" s="134"/>
      <c r="B62" s="119"/>
      <c r="C62" s="115" t="s">
        <v>140</v>
      </c>
      <c r="D62" s="115" t="s">
        <v>56</v>
      </c>
      <c r="E62" s="76" t="s">
        <v>74</v>
      </c>
      <c r="F62" s="83" t="s">
        <v>27</v>
      </c>
      <c r="G62" s="84" t="s">
        <v>77</v>
      </c>
      <c r="H62" s="84" t="s">
        <v>16</v>
      </c>
      <c r="I62" s="83" t="s">
        <v>258</v>
      </c>
      <c r="J62" s="83" t="s">
        <v>78</v>
      </c>
      <c r="K62" s="81">
        <f>125691.96+125691.96+92180</f>
        <v>343563.92000000004</v>
      </c>
      <c r="L62" s="81">
        <v>328353.59999999998</v>
      </c>
      <c r="M62" s="81">
        <v>295385.7</v>
      </c>
      <c r="N62" s="81"/>
      <c r="O62" s="81"/>
      <c r="P62" s="81"/>
      <c r="Q62" s="81">
        <f t="shared" si="15"/>
        <v>967303.22</v>
      </c>
      <c r="R62" s="448"/>
      <c r="S62" s="8" t="s">
        <v>188</v>
      </c>
    </row>
    <row r="63" spans="1:19" ht="111" customHeight="1" x14ac:dyDescent="0.25">
      <c r="A63" s="107"/>
      <c r="B63" s="353"/>
      <c r="C63" s="115" t="s">
        <v>113</v>
      </c>
      <c r="D63" s="115" t="s">
        <v>56</v>
      </c>
      <c r="E63" s="76" t="s">
        <v>74</v>
      </c>
      <c r="F63" s="83" t="s">
        <v>27</v>
      </c>
      <c r="G63" s="84" t="s">
        <v>77</v>
      </c>
      <c r="H63" s="84" t="s">
        <v>16</v>
      </c>
      <c r="I63" s="83" t="s">
        <v>246</v>
      </c>
      <c r="J63" s="83" t="s">
        <v>80</v>
      </c>
      <c r="K63" s="81">
        <f>200000+300000+15000</f>
        <v>515000</v>
      </c>
      <c r="L63" s="81">
        <v>0</v>
      </c>
      <c r="M63" s="81">
        <v>0</v>
      </c>
      <c r="N63" s="81"/>
      <c r="O63" s="81"/>
      <c r="P63" s="81"/>
      <c r="Q63" s="81">
        <f t="shared" si="15"/>
        <v>515000</v>
      </c>
      <c r="R63" s="123"/>
    </row>
    <row r="64" spans="1:19" ht="185.25" customHeight="1" x14ac:dyDescent="0.25">
      <c r="A64" s="113"/>
      <c r="B64" s="120"/>
      <c r="C64" s="115" t="s">
        <v>123</v>
      </c>
      <c r="D64" s="115" t="s">
        <v>56</v>
      </c>
      <c r="E64" s="76" t="s">
        <v>74</v>
      </c>
      <c r="F64" s="83" t="s">
        <v>27</v>
      </c>
      <c r="G64" s="84" t="s">
        <v>77</v>
      </c>
      <c r="H64" s="84" t="s">
        <v>16</v>
      </c>
      <c r="I64" s="83" t="s">
        <v>259</v>
      </c>
      <c r="J64" s="83" t="s">
        <v>80</v>
      </c>
      <c r="K64" s="81">
        <v>0</v>
      </c>
      <c r="L64" s="81">
        <v>0</v>
      </c>
      <c r="M64" s="81">
        <v>0</v>
      </c>
      <c r="N64" s="81"/>
      <c r="O64" s="81"/>
      <c r="P64" s="81"/>
      <c r="Q64" s="81">
        <f t="shared" si="15"/>
        <v>0</v>
      </c>
      <c r="R64" s="124"/>
    </row>
    <row r="65" spans="1:19" ht="119.25" customHeight="1" x14ac:dyDescent="0.25">
      <c r="A65" s="108" t="s">
        <v>14</v>
      </c>
      <c r="B65" s="118"/>
      <c r="C65" s="115" t="s">
        <v>111</v>
      </c>
      <c r="D65" s="115" t="s">
        <v>56</v>
      </c>
      <c r="E65" s="76" t="s">
        <v>74</v>
      </c>
      <c r="F65" s="76" t="s">
        <v>27</v>
      </c>
      <c r="G65" s="77" t="s">
        <v>77</v>
      </c>
      <c r="H65" s="84" t="s">
        <v>16</v>
      </c>
      <c r="I65" s="111" t="s">
        <v>243</v>
      </c>
      <c r="J65" s="76" t="s">
        <v>78</v>
      </c>
      <c r="K65" s="81">
        <f>4533475.22-81949.75+58744+44160.6+36969.65+373.44</f>
        <v>4591773.16</v>
      </c>
      <c r="L65" s="81">
        <v>4635728.3499999996</v>
      </c>
      <c r="M65" s="81">
        <v>4787389.63</v>
      </c>
      <c r="N65" s="81">
        <v>4801089.71</v>
      </c>
      <c r="O65" s="81">
        <f>N65</f>
        <v>4801089.71</v>
      </c>
      <c r="P65" s="81">
        <f>O65</f>
        <v>4801089.71</v>
      </c>
      <c r="Q65" s="81">
        <f>SUM(K65:P65)</f>
        <v>28418160.270000003</v>
      </c>
      <c r="R65" s="356" t="s">
        <v>85</v>
      </c>
    </row>
    <row r="66" spans="1:19" ht="209.25" customHeight="1" x14ac:dyDescent="0.25">
      <c r="A66" s="134"/>
      <c r="B66" s="119"/>
      <c r="C66" s="115" t="s">
        <v>138</v>
      </c>
      <c r="D66" s="115" t="s">
        <v>56</v>
      </c>
      <c r="E66" s="83" t="s">
        <v>74</v>
      </c>
      <c r="F66" s="83" t="s">
        <v>27</v>
      </c>
      <c r="G66" s="84" t="s">
        <v>77</v>
      </c>
      <c r="H66" s="84" t="s">
        <v>16</v>
      </c>
      <c r="I66" s="83" t="s">
        <v>251</v>
      </c>
      <c r="J66" s="83" t="s">
        <v>78</v>
      </c>
      <c r="K66" s="81">
        <f>81130.25-36969.65</f>
        <v>44160.6</v>
      </c>
      <c r="L66" s="81">
        <v>68319.710000000006</v>
      </c>
      <c r="M66" s="81">
        <v>16169.92</v>
      </c>
      <c r="N66" s="81"/>
      <c r="O66" s="81"/>
      <c r="P66" s="81"/>
      <c r="Q66" s="81">
        <f t="shared" si="15"/>
        <v>128650.23</v>
      </c>
      <c r="R66" s="355"/>
    </row>
    <row r="67" spans="1:19" ht="247.5" customHeight="1" x14ac:dyDescent="0.25">
      <c r="A67" s="113"/>
      <c r="B67" s="333"/>
      <c r="C67" s="115" t="s">
        <v>139</v>
      </c>
      <c r="D67" s="115" t="s">
        <v>56</v>
      </c>
      <c r="E67" s="83" t="s">
        <v>74</v>
      </c>
      <c r="F67" s="83" t="s">
        <v>27</v>
      </c>
      <c r="G67" s="84" t="s">
        <v>77</v>
      </c>
      <c r="H67" s="84" t="s">
        <v>16</v>
      </c>
      <c r="I67" s="83" t="s">
        <v>252</v>
      </c>
      <c r="J67" s="83" t="s">
        <v>78</v>
      </c>
      <c r="K67" s="81">
        <v>446.06</v>
      </c>
      <c r="L67" s="81">
        <v>746.08</v>
      </c>
      <c r="M67" s="81">
        <v>175.92</v>
      </c>
      <c r="N67" s="81"/>
      <c r="O67" s="81"/>
      <c r="P67" s="81"/>
      <c r="Q67" s="81">
        <f t="shared" si="15"/>
        <v>1368.0600000000002</v>
      </c>
      <c r="R67" s="123"/>
    </row>
    <row r="68" spans="1:19" s="51" customFormat="1" ht="132" customHeight="1" x14ac:dyDescent="0.25">
      <c r="A68" s="113"/>
      <c r="B68" s="333"/>
      <c r="C68" s="90" t="s">
        <v>140</v>
      </c>
      <c r="D68" s="303" t="s">
        <v>56</v>
      </c>
      <c r="E68" s="93" t="s">
        <v>74</v>
      </c>
      <c r="F68" s="93" t="s">
        <v>27</v>
      </c>
      <c r="G68" s="94" t="s">
        <v>77</v>
      </c>
      <c r="H68" s="94" t="s">
        <v>16</v>
      </c>
      <c r="I68" s="93" t="s">
        <v>258</v>
      </c>
      <c r="J68" s="93" t="s">
        <v>78</v>
      </c>
      <c r="K68" s="81"/>
      <c r="L68" s="96"/>
      <c r="M68" s="96">
        <v>36824.68</v>
      </c>
      <c r="N68" s="96"/>
      <c r="O68" s="96"/>
      <c r="P68" s="96"/>
      <c r="Q68" s="96">
        <f t="shared" ref="Q68" si="16">K68+L68+M68+N68</f>
        <v>36824.68</v>
      </c>
      <c r="R68" s="127"/>
    </row>
    <row r="69" spans="1:19" ht="121.5" customHeight="1" x14ac:dyDescent="0.25">
      <c r="A69" s="107"/>
      <c r="B69" s="353"/>
      <c r="C69" s="115" t="s">
        <v>113</v>
      </c>
      <c r="D69" s="115" t="s">
        <v>56</v>
      </c>
      <c r="E69" s="128" t="s">
        <v>74</v>
      </c>
      <c r="F69" s="116" t="s">
        <v>27</v>
      </c>
      <c r="G69" s="129" t="s">
        <v>77</v>
      </c>
      <c r="H69" s="129" t="s">
        <v>16</v>
      </c>
      <c r="I69" s="116" t="s">
        <v>246</v>
      </c>
      <c r="J69" s="116" t="s">
        <v>80</v>
      </c>
      <c r="K69" s="81">
        <v>7000</v>
      </c>
      <c r="L69" s="81">
        <v>0</v>
      </c>
      <c r="M69" s="81">
        <v>0</v>
      </c>
      <c r="N69" s="81"/>
      <c r="O69" s="81"/>
      <c r="P69" s="81"/>
      <c r="Q69" s="81">
        <f t="shared" si="15"/>
        <v>7000</v>
      </c>
      <c r="R69" s="359"/>
    </row>
    <row r="70" spans="1:19" ht="259.5" customHeight="1" x14ac:dyDescent="0.25">
      <c r="A70" s="353" t="s">
        <v>57</v>
      </c>
      <c r="B70" s="353"/>
      <c r="C70" s="115" t="s">
        <v>58</v>
      </c>
      <c r="D70" s="115" t="s">
        <v>56</v>
      </c>
      <c r="E70" s="76"/>
      <c r="F70" s="76"/>
      <c r="G70" s="77"/>
      <c r="H70" s="84"/>
      <c r="I70" s="83"/>
      <c r="J70" s="76"/>
      <c r="K70" s="81"/>
      <c r="L70" s="81"/>
      <c r="M70" s="81"/>
      <c r="N70" s="81"/>
      <c r="O70" s="81"/>
      <c r="P70" s="81"/>
      <c r="Q70" s="81">
        <f t="shared" si="15"/>
        <v>0</v>
      </c>
      <c r="R70" s="131" t="s">
        <v>86</v>
      </c>
    </row>
    <row r="71" spans="1:19" ht="288" customHeight="1" x14ac:dyDescent="0.25">
      <c r="A71" s="333" t="s">
        <v>103</v>
      </c>
      <c r="B71" s="132"/>
      <c r="C71" s="357" t="s">
        <v>153</v>
      </c>
      <c r="D71" s="115" t="s">
        <v>56</v>
      </c>
      <c r="E71" s="76" t="s">
        <v>74</v>
      </c>
      <c r="F71" s="76" t="s">
        <v>27</v>
      </c>
      <c r="G71" s="77" t="s">
        <v>77</v>
      </c>
      <c r="H71" s="84" t="s">
        <v>16</v>
      </c>
      <c r="I71" s="83" t="s">
        <v>260</v>
      </c>
      <c r="J71" s="76" t="s">
        <v>80</v>
      </c>
      <c r="K71" s="81">
        <v>6181600</v>
      </c>
      <c r="L71" s="81">
        <v>0</v>
      </c>
      <c r="M71" s="81">
        <v>0</v>
      </c>
      <c r="N71" s="81"/>
      <c r="O71" s="81"/>
      <c r="P71" s="81"/>
      <c r="Q71" s="81">
        <f t="shared" si="15"/>
        <v>6181600</v>
      </c>
      <c r="R71" s="131" t="s">
        <v>156</v>
      </c>
      <c r="S71" s="9" t="s">
        <v>157</v>
      </c>
    </row>
    <row r="72" spans="1:19" s="24" customFormat="1" ht="106.5" customHeight="1" x14ac:dyDescent="0.25">
      <c r="A72" s="73"/>
      <c r="B72" s="132"/>
      <c r="C72" s="469" t="s">
        <v>171</v>
      </c>
      <c r="D72" s="115" t="s">
        <v>56</v>
      </c>
      <c r="E72" s="128" t="s">
        <v>74</v>
      </c>
      <c r="F72" s="116" t="s">
        <v>27</v>
      </c>
      <c r="G72" s="129" t="s">
        <v>77</v>
      </c>
      <c r="H72" s="129" t="s">
        <v>16</v>
      </c>
      <c r="I72" s="128" t="s">
        <v>254</v>
      </c>
      <c r="J72" s="116" t="s">
        <v>78</v>
      </c>
      <c r="K72" s="81">
        <v>2920.72</v>
      </c>
      <c r="L72" s="81"/>
      <c r="M72" s="81"/>
      <c r="N72" s="81"/>
      <c r="O72" s="81"/>
      <c r="P72" s="81"/>
      <c r="Q72" s="81">
        <f t="shared" si="15"/>
        <v>2920.72</v>
      </c>
      <c r="R72" s="131"/>
    </row>
    <row r="73" spans="1:19" s="24" customFormat="1" ht="77.25" customHeight="1" x14ac:dyDescent="0.25">
      <c r="A73" s="73"/>
      <c r="B73" s="132"/>
      <c r="C73" s="470"/>
      <c r="D73" s="115" t="s">
        <v>56</v>
      </c>
      <c r="E73" s="128" t="s">
        <v>74</v>
      </c>
      <c r="F73" s="116" t="s">
        <v>27</v>
      </c>
      <c r="G73" s="129" t="s">
        <v>77</v>
      </c>
      <c r="H73" s="129" t="s">
        <v>16</v>
      </c>
      <c r="I73" s="116" t="s">
        <v>254</v>
      </c>
      <c r="J73" s="116" t="s">
        <v>78</v>
      </c>
      <c r="K73" s="81">
        <v>42334.71</v>
      </c>
      <c r="L73" s="81"/>
      <c r="M73" s="81"/>
      <c r="N73" s="81"/>
      <c r="O73" s="81"/>
      <c r="P73" s="81"/>
      <c r="Q73" s="81">
        <f t="shared" si="15"/>
        <v>42334.71</v>
      </c>
      <c r="R73" s="131"/>
    </row>
    <row r="74" spans="1:19" ht="15.75" customHeight="1" x14ac:dyDescent="0.25">
      <c r="A74" s="73"/>
      <c r="B74" s="73"/>
      <c r="C74" s="115" t="s">
        <v>15</v>
      </c>
      <c r="D74" s="69"/>
      <c r="E74" s="115"/>
      <c r="F74" s="115"/>
      <c r="G74" s="77"/>
      <c r="H74" s="78"/>
      <c r="I74" s="71"/>
      <c r="J74" s="115"/>
      <c r="K74" s="81">
        <f>SUM(K59:K73)</f>
        <v>36915910.470000006</v>
      </c>
      <c r="L74" s="81">
        <f>SUM(L59:L70)</f>
        <v>31875520.450000003</v>
      </c>
      <c r="M74" s="81">
        <f>SUM(M59:M70)</f>
        <v>32616021.970000003</v>
      </c>
      <c r="N74" s="81">
        <f>SUM(N59:N71)</f>
        <v>32239126.650000002</v>
      </c>
      <c r="O74" s="81">
        <f>SUM(O59:O73)</f>
        <v>32239126.650000002</v>
      </c>
      <c r="P74" s="81">
        <f>SUM(P59:P73)</f>
        <v>32239126.650000002</v>
      </c>
      <c r="Q74" s="81">
        <f>K74+L74+M74+N74+O74+P74</f>
        <v>198124832.84000003</v>
      </c>
      <c r="R74" s="91"/>
    </row>
    <row r="75" spans="1:19" ht="30" customHeight="1" x14ac:dyDescent="0.25">
      <c r="A75" s="73" t="s">
        <v>16</v>
      </c>
      <c r="B75" s="74"/>
      <c r="C75" s="430" t="s">
        <v>59</v>
      </c>
      <c r="D75" s="431"/>
      <c r="E75" s="431"/>
      <c r="F75" s="431"/>
      <c r="G75" s="431"/>
      <c r="H75" s="431"/>
      <c r="I75" s="431"/>
      <c r="J75" s="431"/>
      <c r="K75" s="431"/>
      <c r="L75" s="431"/>
      <c r="M75" s="431"/>
      <c r="N75" s="431"/>
      <c r="O75" s="431"/>
      <c r="P75" s="431"/>
      <c r="Q75" s="432"/>
      <c r="R75" s="90"/>
    </row>
    <row r="76" spans="1:19" ht="32.25" customHeight="1" x14ac:dyDescent="0.25">
      <c r="A76" s="450" t="s">
        <v>17</v>
      </c>
      <c r="B76" s="118"/>
      <c r="C76" s="428" t="s">
        <v>124</v>
      </c>
      <c r="D76" s="288" t="s">
        <v>56</v>
      </c>
      <c r="E76" s="76" t="s">
        <v>74</v>
      </c>
      <c r="F76" s="83" t="s">
        <v>27</v>
      </c>
      <c r="G76" s="84" t="s">
        <v>77</v>
      </c>
      <c r="H76" s="84" t="s">
        <v>16</v>
      </c>
      <c r="I76" s="83" t="s">
        <v>261</v>
      </c>
      <c r="J76" s="76" t="s">
        <v>80</v>
      </c>
      <c r="K76" s="133">
        <f>12000</f>
        <v>12000</v>
      </c>
      <c r="L76" s="133">
        <v>0</v>
      </c>
      <c r="M76" s="133">
        <v>0</v>
      </c>
      <c r="N76" s="133"/>
      <c r="O76" s="133"/>
      <c r="P76" s="133"/>
      <c r="Q76" s="133">
        <f>SUM(K76:M76)</f>
        <v>12000</v>
      </c>
      <c r="R76" s="447" t="s">
        <v>87</v>
      </c>
      <c r="S76" s="9" t="s">
        <v>0</v>
      </c>
    </row>
    <row r="77" spans="1:19" ht="33" customHeight="1" x14ac:dyDescent="0.25">
      <c r="A77" s="452"/>
      <c r="B77" s="119"/>
      <c r="C77" s="468"/>
      <c r="D77" s="288" t="s">
        <v>56</v>
      </c>
      <c r="E77" s="76" t="s">
        <v>74</v>
      </c>
      <c r="F77" s="83" t="s">
        <v>27</v>
      </c>
      <c r="G77" s="84" t="s">
        <v>77</v>
      </c>
      <c r="H77" s="84" t="s">
        <v>16</v>
      </c>
      <c r="I77" s="83" t="s">
        <v>261</v>
      </c>
      <c r="J77" s="76" t="s">
        <v>80</v>
      </c>
      <c r="K77" s="133">
        <f>3400</f>
        <v>3400</v>
      </c>
      <c r="L77" s="133"/>
      <c r="M77" s="133"/>
      <c r="N77" s="133"/>
      <c r="O77" s="133"/>
      <c r="P77" s="133"/>
      <c r="Q77" s="133">
        <v>3400</v>
      </c>
      <c r="R77" s="448"/>
      <c r="S77" s="9" t="s">
        <v>148</v>
      </c>
    </row>
    <row r="78" spans="1:19" ht="82.5" customHeight="1" x14ac:dyDescent="0.25">
      <c r="A78" s="451"/>
      <c r="B78" s="120"/>
      <c r="C78" s="429"/>
      <c r="D78" s="288" t="s">
        <v>56</v>
      </c>
      <c r="E78" s="76" t="s">
        <v>74</v>
      </c>
      <c r="F78" s="83" t="s">
        <v>75</v>
      </c>
      <c r="G78" s="84" t="s">
        <v>77</v>
      </c>
      <c r="H78" s="84" t="s">
        <v>16</v>
      </c>
      <c r="I78" s="83" t="s">
        <v>261</v>
      </c>
      <c r="J78" s="76" t="s">
        <v>80</v>
      </c>
      <c r="K78" s="133">
        <f>18200</f>
        <v>18200</v>
      </c>
      <c r="L78" s="133"/>
      <c r="M78" s="133"/>
      <c r="N78" s="133"/>
      <c r="O78" s="133"/>
      <c r="P78" s="133"/>
      <c r="Q78" s="133">
        <f t="shared" ref="Q78" si="17">SUM(K78:M78)</f>
        <v>18200</v>
      </c>
      <c r="R78" s="449"/>
      <c r="S78" s="9" t="s">
        <v>104</v>
      </c>
    </row>
    <row r="79" spans="1:19" ht="28.5" customHeight="1" x14ac:dyDescent="0.25">
      <c r="A79" s="450" t="s">
        <v>72</v>
      </c>
      <c r="B79" s="331"/>
      <c r="C79" s="485" t="s">
        <v>152</v>
      </c>
      <c r="D79" s="340" t="s">
        <v>56</v>
      </c>
      <c r="E79" s="76" t="s">
        <v>74</v>
      </c>
      <c r="F79" s="83" t="s">
        <v>27</v>
      </c>
      <c r="G79" s="84" t="s">
        <v>77</v>
      </c>
      <c r="H79" s="84" t="s">
        <v>16</v>
      </c>
      <c r="I79" s="83" t="s">
        <v>262</v>
      </c>
      <c r="J79" s="76" t="s">
        <v>80</v>
      </c>
      <c r="K79" s="133">
        <f>1200000</f>
        <v>1200000</v>
      </c>
      <c r="L79" s="133">
        <v>200000</v>
      </c>
      <c r="M79" s="133">
        <v>350000</v>
      </c>
      <c r="N79" s="133"/>
      <c r="O79" s="133"/>
      <c r="P79" s="133"/>
      <c r="Q79" s="133">
        <f>SUM(K79:M79)</f>
        <v>1750000</v>
      </c>
      <c r="R79" s="131"/>
    </row>
    <row r="80" spans="1:19" ht="24" customHeight="1" x14ac:dyDescent="0.25">
      <c r="A80" s="452"/>
      <c r="B80" s="332"/>
      <c r="C80" s="486"/>
      <c r="D80" s="340" t="s">
        <v>56</v>
      </c>
      <c r="E80" s="76" t="s">
        <v>74</v>
      </c>
      <c r="F80" s="83" t="s">
        <v>27</v>
      </c>
      <c r="G80" s="84" t="s">
        <v>77</v>
      </c>
      <c r="H80" s="84" t="s">
        <v>16</v>
      </c>
      <c r="I80" s="83" t="s">
        <v>262</v>
      </c>
      <c r="J80" s="76" t="s">
        <v>80</v>
      </c>
      <c r="K80" s="133">
        <f>340000</f>
        <v>340000</v>
      </c>
      <c r="L80" s="133"/>
      <c r="M80" s="133"/>
      <c r="N80" s="133"/>
      <c r="O80" s="133"/>
      <c r="P80" s="133"/>
      <c r="Q80" s="133">
        <v>340000</v>
      </c>
      <c r="R80" s="334"/>
    </row>
    <row r="81" spans="1:19" ht="53.25" customHeight="1" x14ac:dyDescent="0.25">
      <c r="A81" s="452"/>
      <c r="B81" s="134"/>
      <c r="C81" s="486"/>
      <c r="D81" s="340" t="s">
        <v>56</v>
      </c>
      <c r="E81" s="76" t="s">
        <v>74</v>
      </c>
      <c r="F81" s="83" t="s">
        <v>75</v>
      </c>
      <c r="G81" s="84" t="s">
        <v>77</v>
      </c>
      <c r="H81" s="84" t="s">
        <v>16</v>
      </c>
      <c r="I81" s="83" t="s">
        <v>262</v>
      </c>
      <c r="J81" s="76" t="s">
        <v>80</v>
      </c>
      <c r="K81" s="133">
        <f>320000</f>
        <v>320000</v>
      </c>
      <c r="L81" s="133"/>
      <c r="M81" s="133">
        <v>200000</v>
      </c>
      <c r="N81" s="133"/>
      <c r="O81" s="133"/>
      <c r="P81" s="133"/>
      <c r="Q81" s="133">
        <f>K81+M81</f>
        <v>520000</v>
      </c>
      <c r="R81" s="334"/>
    </row>
    <row r="82" spans="1:19" s="50" customFormat="1" ht="90" customHeight="1" x14ac:dyDescent="0.25">
      <c r="A82" s="451"/>
      <c r="B82" s="113"/>
      <c r="C82" s="487"/>
      <c r="D82" s="115" t="s">
        <v>56</v>
      </c>
      <c r="E82" s="92" t="s">
        <v>74</v>
      </c>
      <c r="F82" s="93" t="s">
        <v>27</v>
      </c>
      <c r="G82" s="94" t="s">
        <v>77</v>
      </c>
      <c r="H82" s="94" t="s">
        <v>16</v>
      </c>
      <c r="I82" s="111" t="s">
        <v>262</v>
      </c>
      <c r="J82" s="353" t="s">
        <v>28</v>
      </c>
      <c r="K82" s="168"/>
      <c r="L82" s="304"/>
      <c r="M82" s="304">
        <v>208000</v>
      </c>
      <c r="N82" s="304"/>
      <c r="O82" s="304"/>
      <c r="P82" s="304"/>
      <c r="Q82" s="304">
        <f t="shared" ref="Q82" si="18">SUM(K82:N82)</f>
        <v>208000</v>
      </c>
      <c r="R82" s="131"/>
    </row>
    <row r="83" spans="1:19" s="35" customFormat="1" ht="75" customHeight="1" x14ac:dyDescent="0.25">
      <c r="A83" s="450" t="s">
        <v>73</v>
      </c>
      <c r="B83" s="450"/>
      <c r="C83" s="485" t="s">
        <v>216</v>
      </c>
      <c r="D83" s="288" t="s">
        <v>56</v>
      </c>
      <c r="E83" s="76" t="s">
        <v>74</v>
      </c>
      <c r="F83" s="83" t="s">
        <v>27</v>
      </c>
      <c r="G83" s="84" t="s">
        <v>77</v>
      </c>
      <c r="H83" s="84" t="s">
        <v>16</v>
      </c>
      <c r="I83" s="85" t="s">
        <v>261</v>
      </c>
      <c r="J83" s="76" t="s">
        <v>80</v>
      </c>
      <c r="K83" s="133"/>
      <c r="L83" s="133">
        <v>2000</v>
      </c>
      <c r="M83" s="133">
        <f>3500+2100+1600</f>
        <v>7200</v>
      </c>
      <c r="N83" s="133"/>
      <c r="O83" s="133"/>
      <c r="P83" s="133"/>
      <c r="Q83" s="133">
        <f t="shared" ref="Q83:Q84" si="19">SUM(K83:M83)</f>
        <v>9200</v>
      </c>
      <c r="R83" s="124"/>
    </row>
    <row r="84" spans="1:19" s="49" customFormat="1" ht="66.75" customHeight="1" x14ac:dyDescent="0.25">
      <c r="A84" s="452"/>
      <c r="B84" s="452"/>
      <c r="C84" s="486"/>
      <c r="D84" s="305" t="s">
        <v>56</v>
      </c>
      <c r="E84" s="306" t="s">
        <v>74</v>
      </c>
      <c r="F84" s="141" t="s">
        <v>75</v>
      </c>
      <c r="G84" s="307" t="s">
        <v>77</v>
      </c>
      <c r="H84" s="307" t="s">
        <v>16</v>
      </c>
      <c r="I84" s="141" t="s">
        <v>261</v>
      </c>
      <c r="J84" s="306" t="s">
        <v>80</v>
      </c>
      <c r="K84" s="133"/>
      <c r="L84" s="133"/>
      <c r="M84" s="133">
        <f>2000+2100</f>
        <v>4100</v>
      </c>
      <c r="N84" s="133"/>
      <c r="O84" s="133"/>
      <c r="P84" s="133"/>
      <c r="Q84" s="133">
        <f t="shared" si="19"/>
        <v>4100</v>
      </c>
      <c r="R84" s="124"/>
    </row>
    <row r="85" spans="1:19" s="50" customFormat="1" ht="105.75" customHeight="1" x14ac:dyDescent="0.25">
      <c r="A85" s="451"/>
      <c r="B85" s="451"/>
      <c r="C85" s="487"/>
      <c r="D85" s="308" t="s">
        <v>56</v>
      </c>
      <c r="E85" s="309" t="s">
        <v>74</v>
      </c>
      <c r="F85" s="310" t="s">
        <v>27</v>
      </c>
      <c r="G85" s="310" t="s">
        <v>77</v>
      </c>
      <c r="H85" s="311" t="s">
        <v>16</v>
      </c>
      <c r="I85" s="312" t="s">
        <v>261</v>
      </c>
      <c r="J85" s="141" t="s">
        <v>28</v>
      </c>
      <c r="K85" s="308"/>
      <c r="L85" s="308"/>
      <c r="M85" s="308">
        <f>4206+94</f>
        <v>4300</v>
      </c>
      <c r="N85" s="308"/>
      <c r="O85" s="308"/>
      <c r="P85" s="308"/>
      <c r="Q85" s="308">
        <f>M85</f>
        <v>4300</v>
      </c>
      <c r="R85" s="124"/>
    </row>
    <row r="86" spans="1:19" ht="27" customHeight="1" x14ac:dyDescent="0.25">
      <c r="A86" s="73"/>
      <c r="B86" s="73"/>
      <c r="C86" s="115" t="s">
        <v>18</v>
      </c>
      <c r="D86" s="69"/>
      <c r="E86" s="115"/>
      <c r="F86" s="115"/>
      <c r="G86" s="77"/>
      <c r="H86" s="78"/>
      <c r="I86" s="71"/>
      <c r="J86" s="115"/>
      <c r="K86" s="133">
        <f>SUM(K76:K81)</f>
        <v>1893600</v>
      </c>
      <c r="L86" s="133">
        <f>SUM(L76:L83)</f>
        <v>202000</v>
      </c>
      <c r="M86" s="133">
        <f>SUM(M76:M85)</f>
        <v>773600</v>
      </c>
      <c r="N86" s="133">
        <f>SUM(N76:N81)</f>
        <v>0</v>
      </c>
      <c r="O86" s="133"/>
      <c r="P86" s="133"/>
      <c r="Q86" s="133">
        <f>SUM(Q76:Q85)</f>
        <v>2869200</v>
      </c>
      <c r="R86" s="91"/>
    </row>
    <row r="87" spans="1:19" ht="18.75" customHeight="1" x14ac:dyDescent="0.25">
      <c r="A87" s="73" t="s">
        <v>19</v>
      </c>
      <c r="B87" s="74"/>
      <c r="C87" s="430" t="s">
        <v>221</v>
      </c>
      <c r="D87" s="431"/>
      <c r="E87" s="431"/>
      <c r="F87" s="431"/>
      <c r="G87" s="431"/>
      <c r="H87" s="431"/>
      <c r="I87" s="431"/>
      <c r="J87" s="431"/>
      <c r="K87" s="431"/>
      <c r="L87" s="431"/>
      <c r="M87" s="431"/>
      <c r="N87" s="431"/>
      <c r="O87" s="431"/>
      <c r="P87" s="431"/>
      <c r="Q87" s="432"/>
      <c r="R87" s="90"/>
    </row>
    <row r="88" spans="1:19" x14ac:dyDescent="0.25">
      <c r="A88" s="450" t="s">
        <v>20</v>
      </c>
      <c r="B88" s="118"/>
      <c r="C88" s="471" t="s">
        <v>60</v>
      </c>
      <c r="D88" s="288" t="s">
        <v>56</v>
      </c>
      <c r="E88" s="76" t="s">
        <v>74</v>
      </c>
      <c r="F88" s="83" t="s">
        <v>27</v>
      </c>
      <c r="G88" s="84" t="s">
        <v>77</v>
      </c>
      <c r="H88" s="84" t="s">
        <v>16</v>
      </c>
      <c r="I88" s="93" t="s">
        <v>247</v>
      </c>
      <c r="J88" s="76" t="s">
        <v>28</v>
      </c>
      <c r="K88" s="81">
        <v>2126280</v>
      </c>
      <c r="L88" s="81">
        <v>0</v>
      </c>
      <c r="M88" s="81">
        <v>0</v>
      </c>
      <c r="N88" s="81">
        <v>0</v>
      </c>
      <c r="O88" s="81"/>
      <c r="P88" s="81"/>
      <c r="Q88" s="81">
        <f>SUM(K88:N88)</f>
        <v>2126280</v>
      </c>
      <c r="R88" s="447" t="s">
        <v>96</v>
      </c>
      <c r="S88" s="30" t="s">
        <v>183</v>
      </c>
    </row>
    <row r="89" spans="1:19" x14ac:dyDescent="0.25">
      <c r="A89" s="452"/>
      <c r="B89" s="119"/>
      <c r="C89" s="472"/>
      <c r="D89" s="288" t="s">
        <v>56</v>
      </c>
      <c r="E89" s="76" t="s">
        <v>74</v>
      </c>
      <c r="F89" s="83" t="s">
        <v>27</v>
      </c>
      <c r="G89" s="84" t="s">
        <v>77</v>
      </c>
      <c r="H89" s="84" t="s">
        <v>16</v>
      </c>
      <c r="I89" s="93" t="s">
        <v>247</v>
      </c>
      <c r="J89" s="76" t="s">
        <v>28</v>
      </c>
      <c r="K89" s="81">
        <v>662220</v>
      </c>
      <c r="L89" s="81">
        <f>345000+65100+10000</f>
        <v>420100</v>
      </c>
      <c r="M89" s="81">
        <f>75500+30000-250+30000+30000+20000</f>
        <v>185250</v>
      </c>
      <c r="N89" s="81">
        <f>120000+59750</f>
        <v>179750</v>
      </c>
      <c r="O89" s="81">
        <f t="shared" ref="O89:P89" si="20">120000+59750</f>
        <v>179750</v>
      </c>
      <c r="P89" s="81">
        <f t="shared" si="20"/>
        <v>179750</v>
      </c>
      <c r="Q89" s="81">
        <f>SUM(K89:P89)</f>
        <v>1806820</v>
      </c>
      <c r="R89" s="448"/>
    </row>
    <row r="90" spans="1:19" x14ac:dyDescent="0.25">
      <c r="A90" s="452"/>
      <c r="B90" s="119"/>
      <c r="C90" s="472"/>
      <c r="D90" s="288" t="s">
        <v>56</v>
      </c>
      <c r="E90" s="76" t="s">
        <v>74</v>
      </c>
      <c r="F90" s="83" t="s">
        <v>75</v>
      </c>
      <c r="G90" s="84" t="s">
        <v>77</v>
      </c>
      <c r="H90" s="84" t="s">
        <v>16</v>
      </c>
      <c r="I90" s="93" t="s">
        <v>247</v>
      </c>
      <c r="J90" s="76" t="s">
        <v>80</v>
      </c>
      <c r="K90" s="81">
        <v>18500</v>
      </c>
      <c r="L90" s="81">
        <f>20000-2050</f>
        <v>17950</v>
      </c>
      <c r="M90" s="81">
        <f>20000-2000-2100-721.7</f>
        <v>15178.3</v>
      </c>
      <c r="N90" s="81">
        <v>20000</v>
      </c>
      <c r="O90" s="81">
        <v>20000</v>
      </c>
      <c r="P90" s="81">
        <v>20000</v>
      </c>
      <c r="Q90" s="81">
        <f>SUM(K90:P90)</f>
        <v>111628.3</v>
      </c>
      <c r="R90" s="448"/>
    </row>
    <row r="91" spans="1:19" ht="42.75" customHeight="1" x14ac:dyDescent="0.25">
      <c r="A91" s="452"/>
      <c r="B91" s="119"/>
      <c r="C91" s="472"/>
      <c r="D91" s="288" t="s">
        <v>56</v>
      </c>
      <c r="E91" s="149" t="s">
        <v>74</v>
      </c>
      <c r="F91" s="150" t="s">
        <v>27</v>
      </c>
      <c r="G91" s="151" t="s">
        <v>77</v>
      </c>
      <c r="H91" s="151" t="s">
        <v>16</v>
      </c>
      <c r="I91" s="93" t="s">
        <v>247</v>
      </c>
      <c r="J91" s="149" t="s">
        <v>80</v>
      </c>
      <c r="K91" s="81"/>
      <c r="L91" s="81">
        <f>1591000+20000+50000-546-2000+80000-80000-37559</f>
        <v>1620895</v>
      </c>
      <c r="M91" s="81">
        <v>1482800</v>
      </c>
      <c r="N91" s="81">
        <f>1067000+110000+103000-13300</f>
        <v>1266700</v>
      </c>
      <c r="O91" s="81">
        <f t="shared" ref="O91:P91" si="21">1067000+110000+103000</f>
        <v>1280000</v>
      </c>
      <c r="P91" s="81">
        <f t="shared" si="21"/>
        <v>1280000</v>
      </c>
      <c r="Q91" s="81">
        <f>SUM(K91:P91)</f>
        <v>6930395</v>
      </c>
      <c r="R91" s="448"/>
    </row>
    <row r="92" spans="1:19" ht="30" hidden="1" x14ac:dyDescent="0.25">
      <c r="A92" s="452"/>
      <c r="B92" s="119"/>
      <c r="C92" s="472"/>
      <c r="D92" s="288" t="s">
        <v>162</v>
      </c>
      <c r="E92" s="76" t="s">
        <v>74</v>
      </c>
      <c r="F92" s="76" t="s">
        <v>27</v>
      </c>
      <c r="G92" s="77" t="s">
        <v>77</v>
      </c>
      <c r="H92" s="84" t="s">
        <v>16</v>
      </c>
      <c r="I92" s="83" t="s">
        <v>99</v>
      </c>
      <c r="J92" s="76" t="s">
        <v>80</v>
      </c>
      <c r="K92" s="81">
        <v>0</v>
      </c>
      <c r="L92" s="81">
        <f>15000+10000+20000+20000+10000+33000+10000+15000+869000+10000+20000+30000+16000+20000</f>
        <v>1098000</v>
      </c>
      <c r="M92" s="81">
        <f>15000+10000+20000+20000+10000+33000+10000+15000+869000+10000+20000+30000+16000+20000+200000</f>
        <v>1298000</v>
      </c>
      <c r="N92" s="81">
        <f>15000+10000+20000+20000+10000+33000+10000+15000+869000+10000+20000+30000+16000+20000+200000</f>
        <v>1298000</v>
      </c>
      <c r="O92" s="81">
        <f>15000+10000+20000+20000+10000+33000+10000+15000+869000+10000+20000+30000+16000+20000+200000</f>
        <v>1298000</v>
      </c>
      <c r="P92" s="81"/>
      <c r="Q92" s="81">
        <f t="shared" ref="Q92:Q102" si="22">SUM(K92:O92)</f>
        <v>4992000</v>
      </c>
      <c r="R92" s="448"/>
    </row>
    <row r="93" spans="1:19" hidden="1" x14ac:dyDescent="0.25">
      <c r="A93" s="452"/>
      <c r="B93" s="119"/>
      <c r="C93" s="472"/>
      <c r="D93" s="288" t="s">
        <v>165</v>
      </c>
      <c r="E93" s="76" t="s">
        <v>74</v>
      </c>
      <c r="F93" s="83" t="s">
        <v>27</v>
      </c>
      <c r="G93" s="84" t="s">
        <v>77</v>
      </c>
      <c r="H93" s="84" t="s">
        <v>16</v>
      </c>
      <c r="I93" s="83" t="s">
        <v>99</v>
      </c>
      <c r="J93" s="76" t="s">
        <v>80</v>
      </c>
      <c r="K93" s="81">
        <v>0</v>
      </c>
      <c r="L93" s="81">
        <v>110000</v>
      </c>
      <c r="M93" s="81">
        <v>110000</v>
      </c>
      <c r="N93" s="81">
        <v>110000</v>
      </c>
      <c r="O93" s="81">
        <v>110000</v>
      </c>
      <c r="P93" s="81"/>
      <c r="Q93" s="81">
        <f t="shared" si="22"/>
        <v>440000</v>
      </c>
      <c r="R93" s="448"/>
    </row>
    <row r="94" spans="1:19" hidden="1" x14ac:dyDescent="0.25">
      <c r="A94" s="452"/>
      <c r="B94" s="119"/>
      <c r="C94" s="472"/>
      <c r="D94" s="288" t="s">
        <v>163</v>
      </c>
      <c r="E94" s="76" t="s">
        <v>74</v>
      </c>
      <c r="F94" s="83" t="s">
        <v>27</v>
      </c>
      <c r="G94" s="84" t="s">
        <v>77</v>
      </c>
      <c r="H94" s="84" t="s">
        <v>16</v>
      </c>
      <c r="I94" s="83" t="s">
        <v>99</v>
      </c>
      <c r="J94" s="76" t="s">
        <v>80</v>
      </c>
      <c r="K94" s="81">
        <v>0</v>
      </c>
      <c r="L94" s="81">
        <f>60000+20000+28000+15000</f>
        <v>123000</v>
      </c>
      <c r="M94" s="81">
        <f t="shared" ref="M94:O94" si="23">60000+20000+28000+15000</f>
        <v>123000</v>
      </c>
      <c r="N94" s="81">
        <f t="shared" si="23"/>
        <v>123000</v>
      </c>
      <c r="O94" s="81">
        <f t="shared" si="23"/>
        <v>123000</v>
      </c>
      <c r="P94" s="81"/>
      <c r="Q94" s="81">
        <f t="shared" si="22"/>
        <v>492000</v>
      </c>
      <c r="R94" s="448"/>
    </row>
    <row r="95" spans="1:19" hidden="1" x14ac:dyDescent="0.25">
      <c r="A95" s="452"/>
      <c r="B95" s="119"/>
      <c r="C95" s="472"/>
      <c r="D95" s="288" t="s">
        <v>164</v>
      </c>
      <c r="E95" s="76" t="s">
        <v>74</v>
      </c>
      <c r="F95" s="83" t="s">
        <v>27</v>
      </c>
      <c r="G95" s="84" t="s">
        <v>77</v>
      </c>
      <c r="H95" s="84" t="s">
        <v>16</v>
      </c>
      <c r="I95" s="83" t="s">
        <v>99</v>
      </c>
      <c r="J95" s="76" t="s">
        <v>80</v>
      </c>
      <c r="K95" s="81">
        <v>0</v>
      </c>
      <c r="L95" s="81">
        <f>10000+20000+15000</f>
        <v>45000</v>
      </c>
      <c r="M95" s="81">
        <f t="shared" ref="M95:O95" si="24">10000+20000+15000</f>
        <v>45000</v>
      </c>
      <c r="N95" s="81">
        <f t="shared" si="24"/>
        <v>45000</v>
      </c>
      <c r="O95" s="81">
        <f t="shared" si="24"/>
        <v>45000</v>
      </c>
      <c r="P95" s="81"/>
      <c r="Q95" s="81">
        <f t="shared" si="22"/>
        <v>180000</v>
      </c>
      <c r="R95" s="448"/>
    </row>
    <row r="96" spans="1:19" ht="30" hidden="1" x14ac:dyDescent="0.25">
      <c r="A96" s="452"/>
      <c r="B96" s="119"/>
      <c r="C96" s="472"/>
      <c r="D96" s="288" t="s">
        <v>166</v>
      </c>
      <c r="E96" s="149" t="s">
        <v>74</v>
      </c>
      <c r="F96" s="150" t="s">
        <v>75</v>
      </c>
      <c r="G96" s="151" t="s">
        <v>77</v>
      </c>
      <c r="H96" s="151" t="s">
        <v>16</v>
      </c>
      <c r="I96" s="150" t="s">
        <v>99</v>
      </c>
      <c r="J96" s="149" t="s">
        <v>80</v>
      </c>
      <c r="K96" s="152">
        <v>18500</v>
      </c>
      <c r="L96" s="152">
        <f>10000+10000</f>
        <v>20000</v>
      </c>
      <c r="M96" s="152">
        <f t="shared" ref="M96:O96" si="25">10000+10000</f>
        <v>20000</v>
      </c>
      <c r="N96" s="152">
        <f t="shared" si="25"/>
        <v>20000</v>
      </c>
      <c r="O96" s="152">
        <f t="shared" si="25"/>
        <v>20000</v>
      </c>
      <c r="P96" s="152"/>
      <c r="Q96" s="81">
        <f t="shared" si="22"/>
        <v>98500</v>
      </c>
      <c r="R96" s="448"/>
    </row>
    <row r="97" spans="1:18" ht="15.75" customHeight="1" x14ac:dyDescent="0.25">
      <c r="A97" s="450" t="s">
        <v>98</v>
      </c>
      <c r="B97" s="118"/>
      <c r="C97" s="428" t="s">
        <v>114</v>
      </c>
      <c r="D97" s="428" t="s">
        <v>56</v>
      </c>
      <c r="E97" s="475" t="s">
        <v>74</v>
      </c>
      <c r="F97" s="475" t="s">
        <v>27</v>
      </c>
      <c r="G97" s="477" t="s">
        <v>77</v>
      </c>
      <c r="H97" s="479" t="s">
        <v>16</v>
      </c>
      <c r="I97" s="481" t="s">
        <v>246</v>
      </c>
      <c r="J97" s="475" t="s">
        <v>28</v>
      </c>
      <c r="K97" s="483">
        <f>300000-29040-15000-100000-33600</f>
        <v>122360</v>
      </c>
      <c r="L97" s="483">
        <v>0</v>
      </c>
      <c r="M97" s="483">
        <v>0</v>
      </c>
      <c r="N97" s="483"/>
      <c r="O97" s="483"/>
      <c r="P97" s="483"/>
      <c r="Q97" s="483">
        <f t="shared" si="22"/>
        <v>122360</v>
      </c>
      <c r="R97" s="153"/>
    </row>
    <row r="98" spans="1:18" ht="117.75" customHeight="1" x14ac:dyDescent="0.25">
      <c r="A98" s="451"/>
      <c r="B98" s="120"/>
      <c r="C98" s="429"/>
      <c r="D98" s="429"/>
      <c r="E98" s="476"/>
      <c r="F98" s="476"/>
      <c r="G98" s="478"/>
      <c r="H98" s="480"/>
      <c r="I98" s="482"/>
      <c r="J98" s="476"/>
      <c r="K98" s="484"/>
      <c r="L98" s="484"/>
      <c r="M98" s="484"/>
      <c r="N98" s="484"/>
      <c r="O98" s="484"/>
      <c r="P98" s="484"/>
      <c r="Q98" s="484"/>
      <c r="R98" s="154"/>
    </row>
    <row r="99" spans="1:18" s="56" customFormat="1" ht="270.75" customHeight="1" x14ac:dyDescent="0.25">
      <c r="A99" s="413" t="s">
        <v>298</v>
      </c>
      <c r="B99" s="380"/>
      <c r="C99" s="385" t="s">
        <v>306</v>
      </c>
      <c r="D99" s="115" t="s">
        <v>56</v>
      </c>
      <c r="E99" s="92" t="s">
        <v>74</v>
      </c>
      <c r="F99" s="93" t="s">
        <v>27</v>
      </c>
      <c r="G99" s="94" t="s">
        <v>77</v>
      </c>
      <c r="H99" s="94" t="s">
        <v>16</v>
      </c>
      <c r="I99" s="86" t="s">
        <v>299</v>
      </c>
      <c r="J99" s="379" t="s">
        <v>80</v>
      </c>
      <c r="K99" s="158"/>
      <c r="L99" s="158"/>
      <c r="M99" s="158"/>
      <c r="N99" s="158">
        <v>987500</v>
      </c>
      <c r="O99" s="158"/>
      <c r="P99" s="158"/>
      <c r="Q99" s="81">
        <f t="shared" si="22"/>
        <v>987500</v>
      </c>
      <c r="R99" s="154"/>
    </row>
    <row r="100" spans="1:18" s="56" customFormat="1" ht="270.75" customHeight="1" x14ac:dyDescent="0.25">
      <c r="A100" s="413" t="s">
        <v>316</v>
      </c>
      <c r="B100" s="413"/>
      <c r="C100" s="411" t="s">
        <v>317</v>
      </c>
      <c r="D100" s="115" t="s">
        <v>56</v>
      </c>
      <c r="E100" s="92" t="s">
        <v>74</v>
      </c>
      <c r="F100" s="93" t="s">
        <v>27</v>
      </c>
      <c r="G100" s="94" t="s">
        <v>77</v>
      </c>
      <c r="H100" s="94" t="s">
        <v>16</v>
      </c>
      <c r="I100" s="86" t="s">
        <v>318</v>
      </c>
      <c r="J100" s="412" t="s">
        <v>80</v>
      </c>
      <c r="K100" s="158"/>
      <c r="L100" s="158"/>
      <c r="M100" s="158"/>
      <c r="N100" s="158">
        <f>2112480</f>
        <v>2112480</v>
      </c>
      <c r="O100" s="158"/>
      <c r="P100" s="158"/>
      <c r="Q100" s="81">
        <f t="shared" si="22"/>
        <v>2112480</v>
      </c>
      <c r="R100" s="154"/>
    </row>
    <row r="101" spans="1:18" s="56" customFormat="1" ht="270.75" customHeight="1" x14ac:dyDescent="0.25">
      <c r="A101" s="413" t="s">
        <v>319</v>
      </c>
      <c r="B101" s="413"/>
      <c r="C101" s="416" t="s">
        <v>317</v>
      </c>
      <c r="D101" s="115" t="s">
        <v>56</v>
      </c>
      <c r="E101" s="92" t="s">
        <v>74</v>
      </c>
      <c r="F101" s="93" t="s">
        <v>27</v>
      </c>
      <c r="G101" s="94" t="s">
        <v>77</v>
      </c>
      <c r="H101" s="94" t="s">
        <v>16</v>
      </c>
      <c r="I101" s="86" t="s">
        <v>318</v>
      </c>
      <c r="J101" s="417" t="s">
        <v>80</v>
      </c>
      <c r="K101" s="158"/>
      <c r="L101" s="158"/>
      <c r="M101" s="158"/>
      <c r="N101" s="158">
        <v>234720</v>
      </c>
      <c r="O101" s="158"/>
      <c r="P101" s="158"/>
      <c r="Q101" s="81">
        <f t="shared" si="22"/>
        <v>234720</v>
      </c>
      <c r="R101" s="154"/>
    </row>
    <row r="102" spans="1:18" s="56" customFormat="1" ht="333.75" customHeight="1" x14ac:dyDescent="0.25">
      <c r="A102" s="415" t="s">
        <v>320</v>
      </c>
      <c r="B102" s="415"/>
      <c r="C102" s="420" t="s">
        <v>322</v>
      </c>
      <c r="D102" s="115" t="s">
        <v>56</v>
      </c>
      <c r="E102" s="421" t="s">
        <v>74</v>
      </c>
      <c r="F102" s="422" t="s">
        <v>27</v>
      </c>
      <c r="G102" s="423" t="s">
        <v>77</v>
      </c>
      <c r="H102" s="423" t="s">
        <v>16</v>
      </c>
      <c r="I102" s="409" t="s">
        <v>321</v>
      </c>
      <c r="J102" s="418" t="s">
        <v>80</v>
      </c>
      <c r="K102" s="158"/>
      <c r="L102" s="158"/>
      <c r="M102" s="158"/>
      <c r="N102" s="158">
        <f>13300</f>
        <v>13300</v>
      </c>
      <c r="O102" s="158"/>
      <c r="P102" s="158"/>
      <c r="Q102" s="81">
        <f t="shared" si="22"/>
        <v>13300</v>
      </c>
      <c r="R102" s="154"/>
    </row>
    <row r="103" spans="1:18" ht="32.25" customHeight="1" x14ac:dyDescent="0.25">
      <c r="A103" s="120"/>
      <c r="B103" s="120"/>
      <c r="C103" s="289" t="s">
        <v>21</v>
      </c>
      <c r="D103" s="286"/>
      <c r="E103" s="289"/>
      <c r="F103" s="289"/>
      <c r="G103" s="155"/>
      <c r="H103" s="156"/>
      <c r="I103" s="157"/>
      <c r="J103" s="289"/>
      <c r="K103" s="158">
        <f>K88+K89+K90+K91+K97+K98</f>
        <v>2929360</v>
      </c>
      <c r="L103" s="158">
        <f>SUM(L89:L91)</f>
        <v>2058945</v>
      </c>
      <c r="M103" s="158">
        <f>SUM(M89:M91)</f>
        <v>1683228.3</v>
      </c>
      <c r="N103" s="158">
        <f>N89+N90+N91+N97+N99+N100+N101+N102</f>
        <v>4814450</v>
      </c>
      <c r="O103" s="158">
        <f t="shared" ref="O103:P103" si="26">SUM(O89:O91)</f>
        <v>1479750</v>
      </c>
      <c r="P103" s="158">
        <f t="shared" si="26"/>
        <v>1479750</v>
      </c>
      <c r="Q103" s="81">
        <f>SUM(K103:P103)</f>
        <v>14445483.300000001</v>
      </c>
      <c r="R103" s="91"/>
    </row>
    <row r="104" spans="1:18" ht="30" x14ac:dyDescent="0.25">
      <c r="A104" s="450" t="s">
        <v>19</v>
      </c>
      <c r="B104" s="465" t="s">
        <v>53</v>
      </c>
      <c r="C104" s="453" t="s">
        <v>194</v>
      </c>
      <c r="D104" s="69" t="s">
        <v>141</v>
      </c>
      <c r="E104" s="70"/>
      <c r="F104" s="70"/>
      <c r="G104" s="70"/>
      <c r="H104" s="70"/>
      <c r="I104" s="70"/>
      <c r="J104" s="70"/>
      <c r="K104" s="72">
        <f t="shared" ref="K104:P104" si="27">K124+K127+K136+K157+K170</f>
        <v>13644150.699999999</v>
      </c>
      <c r="L104" s="72">
        <f t="shared" si="27"/>
        <v>15354612.059999999</v>
      </c>
      <c r="M104" s="72">
        <f t="shared" si="27"/>
        <v>13714969.579999996</v>
      </c>
      <c r="N104" s="72">
        <f t="shared" si="27"/>
        <v>14915805.640000001</v>
      </c>
      <c r="O104" s="72">
        <f t="shared" si="27"/>
        <v>12456691.630000001</v>
      </c>
      <c r="P104" s="72">
        <f t="shared" si="27"/>
        <v>12456691.630000001</v>
      </c>
      <c r="Q104" s="121">
        <f>SUM(K104:P104)</f>
        <v>82542921.239999995</v>
      </c>
      <c r="R104" s="90"/>
    </row>
    <row r="105" spans="1:18" x14ac:dyDescent="0.25">
      <c r="A105" s="452"/>
      <c r="B105" s="466"/>
      <c r="C105" s="462"/>
      <c r="D105" s="69" t="s">
        <v>25</v>
      </c>
      <c r="E105" s="70"/>
      <c r="F105" s="70"/>
      <c r="G105" s="70"/>
      <c r="H105" s="70"/>
      <c r="I105" s="70"/>
      <c r="J105" s="70"/>
      <c r="K105" s="72"/>
      <c r="L105" s="70"/>
      <c r="M105" s="70"/>
      <c r="N105" s="70"/>
      <c r="O105" s="70"/>
      <c r="P105" s="70"/>
      <c r="Q105" s="121">
        <f t="shared" ref="Q105:Q109" si="28">SUM(K105:O105)</f>
        <v>0</v>
      </c>
      <c r="R105" s="90"/>
    </row>
    <row r="106" spans="1:18" s="54" customFormat="1" ht="45" x14ac:dyDescent="0.25">
      <c r="A106" s="452"/>
      <c r="B106" s="466"/>
      <c r="C106" s="462"/>
      <c r="D106" s="69" t="s">
        <v>286</v>
      </c>
      <c r="E106" s="70" t="s">
        <v>48</v>
      </c>
      <c r="F106" s="70" t="s">
        <v>48</v>
      </c>
      <c r="G106" s="70" t="s">
        <v>48</v>
      </c>
      <c r="H106" s="70" t="s">
        <v>48</v>
      </c>
      <c r="I106" s="70" t="s">
        <v>48</v>
      </c>
      <c r="J106" s="70" t="s">
        <v>48</v>
      </c>
      <c r="K106" s="72"/>
      <c r="L106" s="70"/>
      <c r="M106" s="72">
        <f>M122</f>
        <v>35360</v>
      </c>
      <c r="N106" s="70"/>
      <c r="O106" s="70"/>
      <c r="P106" s="70"/>
      <c r="Q106" s="121">
        <f t="shared" si="28"/>
        <v>35360</v>
      </c>
      <c r="R106" s="90"/>
    </row>
    <row r="107" spans="1:18" ht="63.75" customHeight="1" x14ac:dyDescent="0.25">
      <c r="A107" s="452"/>
      <c r="B107" s="466"/>
      <c r="C107" s="462"/>
      <c r="D107" s="69" t="s">
        <v>191</v>
      </c>
      <c r="E107" s="70" t="s">
        <v>48</v>
      </c>
      <c r="F107" s="70" t="s">
        <v>48</v>
      </c>
      <c r="G107" s="70" t="s">
        <v>48</v>
      </c>
      <c r="H107" s="70" t="s">
        <v>48</v>
      </c>
      <c r="I107" s="70" t="s">
        <v>48</v>
      </c>
      <c r="J107" s="70" t="s">
        <v>48</v>
      </c>
      <c r="K107" s="72">
        <f>425269.2+65974.35+400000+76955.72</f>
        <v>968199.27</v>
      </c>
      <c r="L107" s="72">
        <f>L113+L115+L116+L120+L153+L154+L155+L167</f>
        <v>1262658.05</v>
      </c>
      <c r="M107" s="72">
        <f>M113+M115+M116+M147+M168+M169</f>
        <v>877730.3</v>
      </c>
      <c r="N107" s="72"/>
      <c r="O107" s="72"/>
      <c r="P107" s="72"/>
      <c r="Q107" s="121">
        <f t="shared" si="28"/>
        <v>3108587.62</v>
      </c>
      <c r="R107" s="90"/>
    </row>
    <row r="108" spans="1:18" ht="64.5" customHeight="1" x14ac:dyDescent="0.25">
      <c r="A108" s="452"/>
      <c r="B108" s="466"/>
      <c r="C108" s="462"/>
      <c r="D108" s="69" t="s">
        <v>192</v>
      </c>
      <c r="E108" s="70" t="s">
        <v>48</v>
      </c>
      <c r="F108" s="70" t="s">
        <v>48</v>
      </c>
      <c r="G108" s="70" t="s">
        <v>48</v>
      </c>
      <c r="H108" s="70" t="s">
        <v>48</v>
      </c>
      <c r="I108" s="70" t="s">
        <v>48</v>
      </c>
      <c r="J108" s="70" t="s">
        <v>48</v>
      </c>
      <c r="K108" s="72">
        <f>K124+K127+K136+K157+K170-K107</f>
        <v>12675951.43</v>
      </c>
      <c r="L108" s="72">
        <f>L124+L127+L136+L157+L170-L107</f>
        <v>14091954.009999998</v>
      </c>
      <c r="M108" s="72">
        <v>12801879.279999999</v>
      </c>
      <c r="N108" s="72">
        <f>N124+N127+N136+N157+N170-N107</f>
        <v>14915805.640000001</v>
      </c>
      <c r="O108" s="72">
        <f>O124+O127+O136+O157+O170-O107</f>
        <v>12456691.630000001</v>
      </c>
      <c r="P108" s="72">
        <f>P124+P127+P136+P157+P170-P107</f>
        <v>12456691.630000001</v>
      </c>
      <c r="Q108" s="121">
        <f>SUM(K108:P108)</f>
        <v>79398973.620000005</v>
      </c>
      <c r="R108" s="90"/>
    </row>
    <row r="109" spans="1:18" ht="0.75" hidden="1" customHeight="1" x14ac:dyDescent="0.25">
      <c r="A109" s="451"/>
      <c r="B109" s="467"/>
      <c r="C109" s="463"/>
      <c r="D109" s="69"/>
      <c r="E109" s="70"/>
      <c r="F109" s="70"/>
      <c r="G109" s="70"/>
      <c r="H109" s="70"/>
      <c r="I109" s="70"/>
      <c r="J109" s="70"/>
      <c r="K109" s="72"/>
      <c r="L109" s="72"/>
      <c r="M109" s="72"/>
      <c r="N109" s="72"/>
      <c r="O109" s="72"/>
      <c r="P109" s="72"/>
      <c r="Q109" s="121">
        <f t="shared" si="28"/>
        <v>0</v>
      </c>
      <c r="R109" s="68"/>
    </row>
    <row r="110" spans="1:18" ht="32.25" customHeight="1" x14ac:dyDescent="0.25">
      <c r="A110" s="73" t="s">
        <v>13</v>
      </c>
      <c r="B110" s="74"/>
      <c r="C110" s="430" t="s">
        <v>32</v>
      </c>
      <c r="D110" s="431"/>
      <c r="E110" s="431"/>
      <c r="F110" s="431"/>
      <c r="G110" s="431"/>
      <c r="H110" s="431"/>
      <c r="I110" s="431"/>
      <c r="J110" s="431"/>
      <c r="K110" s="431"/>
      <c r="L110" s="431"/>
      <c r="M110" s="431"/>
      <c r="N110" s="431"/>
      <c r="O110" s="431"/>
      <c r="P110" s="431"/>
      <c r="Q110" s="432"/>
      <c r="R110" s="68"/>
    </row>
    <row r="111" spans="1:18" ht="90" x14ac:dyDescent="0.25">
      <c r="A111" s="108" t="s">
        <v>30</v>
      </c>
      <c r="B111" s="118"/>
      <c r="C111" s="115" t="s">
        <v>125</v>
      </c>
      <c r="D111" s="115" t="s">
        <v>56</v>
      </c>
      <c r="E111" s="76" t="s">
        <v>74</v>
      </c>
      <c r="F111" s="76" t="s">
        <v>75</v>
      </c>
      <c r="G111" s="77" t="s">
        <v>77</v>
      </c>
      <c r="H111" s="78">
        <v>3</v>
      </c>
      <c r="I111" s="111" t="s">
        <v>243</v>
      </c>
      <c r="J111" s="76" t="s">
        <v>78</v>
      </c>
      <c r="K111" s="81">
        <f>8302599.58+430220</f>
        <v>8732819.5800000001</v>
      </c>
      <c r="L111" s="81">
        <v>9721438.6699999999</v>
      </c>
      <c r="M111" s="81">
        <f>9858916.43+260711.73+309600+63011.11-202.52-205.01</f>
        <v>10491831.74</v>
      </c>
      <c r="N111" s="81">
        <v>10451508.17</v>
      </c>
      <c r="O111" s="81">
        <f>N111</f>
        <v>10451508.17</v>
      </c>
      <c r="P111" s="81">
        <f>O111</f>
        <v>10451508.17</v>
      </c>
      <c r="Q111" s="81">
        <f>SUM(K111:P111)</f>
        <v>60300614.500000007</v>
      </c>
      <c r="R111" s="122" t="s">
        <v>88</v>
      </c>
    </row>
    <row r="112" spans="1:18" s="24" customFormat="1" ht="187.5" customHeight="1" x14ac:dyDescent="0.25">
      <c r="A112" s="113"/>
      <c r="B112" s="333"/>
      <c r="C112" s="115" t="s">
        <v>171</v>
      </c>
      <c r="D112" s="115" t="s">
        <v>56</v>
      </c>
      <c r="E112" s="76" t="s">
        <v>74</v>
      </c>
      <c r="F112" s="83" t="s">
        <v>75</v>
      </c>
      <c r="G112" s="84" t="s">
        <v>77</v>
      </c>
      <c r="H112" s="78">
        <v>3</v>
      </c>
      <c r="I112" s="83" t="s">
        <v>254</v>
      </c>
      <c r="J112" s="83" t="s">
        <v>78</v>
      </c>
      <c r="K112" s="81">
        <v>13524.67</v>
      </c>
      <c r="L112" s="81"/>
      <c r="M112" s="81"/>
      <c r="N112" s="81"/>
      <c r="O112" s="81"/>
      <c r="P112" s="81"/>
      <c r="Q112" s="81">
        <f t="shared" ref="Q112:Q123" si="29">SUM(K112:O112)</f>
        <v>13524.67</v>
      </c>
      <c r="R112" s="123"/>
    </row>
    <row r="113" spans="1:19" ht="219" customHeight="1" x14ac:dyDescent="0.25">
      <c r="A113" s="134"/>
      <c r="B113" s="119"/>
      <c r="C113" s="115" t="s">
        <v>138</v>
      </c>
      <c r="D113" s="115" t="s">
        <v>56</v>
      </c>
      <c r="E113" s="76" t="s">
        <v>74</v>
      </c>
      <c r="F113" s="83" t="s">
        <v>75</v>
      </c>
      <c r="G113" s="84" t="s">
        <v>77</v>
      </c>
      <c r="H113" s="78">
        <v>3</v>
      </c>
      <c r="I113" s="83" t="s">
        <v>251</v>
      </c>
      <c r="J113" s="83" t="s">
        <v>78</v>
      </c>
      <c r="K113" s="81">
        <f>316171.33+63431.05</f>
        <v>379602.38</v>
      </c>
      <c r="L113" s="81">
        <v>230464.58</v>
      </c>
      <c r="M113" s="377">
        <f>17672.51+20295.59</f>
        <v>37968.1</v>
      </c>
      <c r="N113" s="81"/>
      <c r="O113" s="81"/>
      <c r="P113" s="81"/>
      <c r="Q113" s="81">
        <f t="shared" si="29"/>
        <v>648035.05999999994</v>
      </c>
      <c r="R113" s="338"/>
    </row>
    <row r="114" spans="1:19" ht="248.25" customHeight="1" x14ac:dyDescent="0.25">
      <c r="A114" s="134"/>
      <c r="B114" s="119"/>
      <c r="C114" s="115" t="s">
        <v>139</v>
      </c>
      <c r="D114" s="115" t="s">
        <v>56</v>
      </c>
      <c r="E114" s="76" t="s">
        <v>74</v>
      </c>
      <c r="F114" s="83" t="s">
        <v>75</v>
      </c>
      <c r="G114" s="84" t="s">
        <v>77</v>
      </c>
      <c r="H114" s="78">
        <v>3</v>
      </c>
      <c r="I114" s="83" t="s">
        <v>252</v>
      </c>
      <c r="J114" s="83" t="s">
        <v>78</v>
      </c>
      <c r="K114" s="81">
        <v>4111.0200000000004</v>
      </c>
      <c r="L114" s="81">
        <v>2669.95</v>
      </c>
      <c r="M114" s="81">
        <v>407.53</v>
      </c>
      <c r="N114" s="81"/>
      <c r="O114" s="81"/>
      <c r="P114" s="81"/>
      <c r="Q114" s="81">
        <f t="shared" si="29"/>
        <v>7188.5</v>
      </c>
      <c r="R114" s="339"/>
    </row>
    <row r="115" spans="1:19" ht="105" x14ac:dyDescent="0.25">
      <c r="A115" s="113"/>
      <c r="B115" s="120"/>
      <c r="C115" s="115" t="s">
        <v>140</v>
      </c>
      <c r="D115" s="115" t="s">
        <v>56</v>
      </c>
      <c r="E115" s="83" t="s">
        <v>74</v>
      </c>
      <c r="F115" s="83" t="s">
        <v>75</v>
      </c>
      <c r="G115" s="84" t="s">
        <v>77</v>
      </c>
      <c r="H115" s="78">
        <v>3</v>
      </c>
      <c r="I115" s="83" t="s">
        <v>258</v>
      </c>
      <c r="J115" s="83" t="s">
        <v>78</v>
      </c>
      <c r="K115" s="81">
        <f>141865.92+65974.35</f>
        <v>207840.27000000002</v>
      </c>
      <c r="L115" s="81">
        <v>151884.69</v>
      </c>
      <c r="M115" s="81">
        <v>229997.2</v>
      </c>
      <c r="N115" s="81"/>
      <c r="O115" s="81"/>
      <c r="P115" s="81"/>
      <c r="Q115" s="81">
        <f t="shared" si="29"/>
        <v>589722.16</v>
      </c>
      <c r="R115" s="97"/>
      <c r="S115" s="9" t="s">
        <v>104</v>
      </c>
    </row>
    <row r="116" spans="1:19" ht="150" x14ac:dyDescent="0.25">
      <c r="A116" s="73" t="s">
        <v>14</v>
      </c>
      <c r="B116" s="73"/>
      <c r="C116" s="115" t="s">
        <v>33</v>
      </c>
      <c r="D116" s="115" t="s">
        <v>56</v>
      </c>
      <c r="E116" s="76" t="s">
        <v>74</v>
      </c>
      <c r="F116" s="76" t="s">
        <v>75</v>
      </c>
      <c r="G116" s="77" t="s">
        <v>77</v>
      </c>
      <c r="H116" s="78">
        <v>3</v>
      </c>
      <c r="I116" s="83" t="s">
        <v>263</v>
      </c>
      <c r="J116" s="76" t="s">
        <v>80</v>
      </c>
      <c r="K116" s="81"/>
      <c r="L116" s="81">
        <v>202950</v>
      </c>
      <c r="M116" s="81"/>
      <c r="N116" s="81"/>
      <c r="O116" s="81"/>
      <c r="P116" s="81"/>
      <c r="Q116" s="81">
        <f t="shared" si="29"/>
        <v>202950</v>
      </c>
      <c r="R116" s="131" t="s">
        <v>92</v>
      </c>
    </row>
    <row r="117" spans="1:19" ht="105" x14ac:dyDescent="0.25">
      <c r="A117" s="73" t="s">
        <v>57</v>
      </c>
      <c r="B117" s="118"/>
      <c r="C117" s="288" t="s">
        <v>115</v>
      </c>
      <c r="D117" s="115" t="s">
        <v>56</v>
      </c>
      <c r="E117" s="76" t="s">
        <v>74</v>
      </c>
      <c r="F117" s="76" t="s">
        <v>75</v>
      </c>
      <c r="G117" s="77" t="s">
        <v>77</v>
      </c>
      <c r="H117" s="78">
        <v>3</v>
      </c>
      <c r="I117" s="83" t="s">
        <v>259</v>
      </c>
      <c r="J117" s="76" t="s">
        <v>80</v>
      </c>
      <c r="K117" s="81">
        <v>0</v>
      </c>
      <c r="L117" s="81">
        <v>0</v>
      </c>
      <c r="M117" s="81">
        <v>0</v>
      </c>
      <c r="N117" s="81"/>
      <c r="O117" s="81"/>
      <c r="P117" s="81"/>
      <c r="Q117" s="81">
        <f t="shared" si="29"/>
        <v>0</v>
      </c>
      <c r="R117" s="131" t="s">
        <v>106</v>
      </c>
    </row>
    <row r="118" spans="1:19" ht="78" customHeight="1" x14ac:dyDescent="0.25">
      <c r="A118" s="73" t="s">
        <v>103</v>
      </c>
      <c r="B118" s="118"/>
      <c r="C118" s="288" t="s">
        <v>34</v>
      </c>
      <c r="D118" s="115" t="s">
        <v>56</v>
      </c>
      <c r="E118" s="76" t="s">
        <v>74</v>
      </c>
      <c r="F118" s="76" t="s">
        <v>27</v>
      </c>
      <c r="G118" s="77" t="s">
        <v>77</v>
      </c>
      <c r="H118" s="78">
        <v>3</v>
      </c>
      <c r="I118" s="83" t="s">
        <v>264</v>
      </c>
      <c r="J118" s="76" t="s">
        <v>80</v>
      </c>
      <c r="K118" s="81">
        <f>300+62924</f>
        <v>63224</v>
      </c>
      <c r="L118" s="81">
        <v>0</v>
      </c>
      <c r="M118" s="81">
        <v>0</v>
      </c>
      <c r="N118" s="81"/>
      <c r="O118" s="81"/>
      <c r="P118" s="81"/>
      <c r="Q118" s="81">
        <f t="shared" si="29"/>
        <v>63224</v>
      </c>
      <c r="R118" s="131" t="s">
        <v>93</v>
      </c>
    </row>
    <row r="119" spans="1:19" s="35" customFormat="1" ht="210" x14ac:dyDescent="0.25">
      <c r="A119" s="159" t="s">
        <v>160</v>
      </c>
      <c r="B119" s="73"/>
      <c r="C119" s="160" t="s">
        <v>218</v>
      </c>
      <c r="D119" s="115" t="s">
        <v>56</v>
      </c>
      <c r="E119" s="76" t="s">
        <v>74</v>
      </c>
      <c r="F119" s="76" t="s">
        <v>75</v>
      </c>
      <c r="G119" s="77" t="s">
        <v>77</v>
      </c>
      <c r="H119" s="78">
        <v>3</v>
      </c>
      <c r="I119" s="83" t="s">
        <v>265</v>
      </c>
      <c r="J119" s="76" t="s">
        <v>80</v>
      </c>
      <c r="K119" s="81"/>
      <c r="L119" s="81">
        <v>2050</v>
      </c>
      <c r="M119" s="81"/>
      <c r="N119" s="81"/>
      <c r="O119" s="81"/>
      <c r="P119" s="81"/>
      <c r="Q119" s="81">
        <f t="shared" si="29"/>
        <v>2050</v>
      </c>
      <c r="R119" s="131" t="s">
        <v>92</v>
      </c>
    </row>
    <row r="120" spans="1:19" s="35" customFormat="1" ht="55.5" customHeight="1" x14ac:dyDescent="0.25">
      <c r="A120" s="159" t="s">
        <v>172</v>
      </c>
      <c r="B120" s="118"/>
      <c r="C120" s="288" t="s">
        <v>34</v>
      </c>
      <c r="D120" s="115" t="s">
        <v>56</v>
      </c>
      <c r="E120" s="76" t="s">
        <v>74</v>
      </c>
      <c r="F120" s="76" t="s">
        <v>27</v>
      </c>
      <c r="G120" s="77" t="s">
        <v>77</v>
      </c>
      <c r="H120" s="78">
        <v>3</v>
      </c>
      <c r="I120" s="83" t="s">
        <v>266</v>
      </c>
      <c r="J120" s="76" t="s">
        <v>80</v>
      </c>
      <c r="K120" s="81"/>
      <c r="L120" s="81">
        <v>54000</v>
      </c>
      <c r="M120" s="81">
        <v>0</v>
      </c>
      <c r="N120" s="81"/>
      <c r="O120" s="81"/>
      <c r="P120" s="81"/>
      <c r="Q120" s="81">
        <f t="shared" si="29"/>
        <v>54000</v>
      </c>
      <c r="R120" s="131" t="s">
        <v>93</v>
      </c>
    </row>
    <row r="121" spans="1:19" s="35" customFormat="1" ht="87.75" customHeight="1" x14ac:dyDescent="0.25">
      <c r="A121" s="159" t="s">
        <v>196</v>
      </c>
      <c r="B121" s="118"/>
      <c r="C121" s="287" t="s">
        <v>217</v>
      </c>
      <c r="D121" s="115" t="s">
        <v>56</v>
      </c>
      <c r="E121" s="76" t="s">
        <v>74</v>
      </c>
      <c r="F121" s="76" t="s">
        <v>27</v>
      </c>
      <c r="G121" s="77" t="s">
        <v>77</v>
      </c>
      <c r="H121" s="78">
        <v>3</v>
      </c>
      <c r="I121" s="83" t="s">
        <v>264</v>
      </c>
      <c r="J121" s="76" t="s">
        <v>80</v>
      </c>
      <c r="K121" s="81"/>
      <c r="L121" s="81">
        <v>546</v>
      </c>
      <c r="M121" s="81">
        <v>0</v>
      </c>
      <c r="N121" s="81"/>
      <c r="O121" s="81"/>
      <c r="P121" s="81"/>
      <c r="Q121" s="81">
        <f t="shared" si="29"/>
        <v>546</v>
      </c>
      <c r="R121" s="131" t="s">
        <v>93</v>
      </c>
    </row>
    <row r="122" spans="1:19" s="52" customFormat="1" ht="272.25" customHeight="1" x14ac:dyDescent="0.25">
      <c r="A122" s="73" t="s">
        <v>230</v>
      </c>
      <c r="B122" s="118"/>
      <c r="C122" s="313" t="s">
        <v>284</v>
      </c>
      <c r="D122" s="90" t="s">
        <v>56</v>
      </c>
      <c r="E122" s="73" t="s">
        <v>74</v>
      </c>
      <c r="F122" s="73" t="s">
        <v>75</v>
      </c>
      <c r="G122" s="74" t="s">
        <v>77</v>
      </c>
      <c r="H122" s="110">
        <v>3</v>
      </c>
      <c r="I122" s="111" t="s">
        <v>283</v>
      </c>
      <c r="J122" s="73" t="s">
        <v>80</v>
      </c>
      <c r="K122" s="237"/>
      <c r="L122" s="96"/>
      <c r="M122" s="96">
        <v>35360</v>
      </c>
      <c r="N122" s="96"/>
      <c r="O122" s="96"/>
      <c r="P122" s="96"/>
      <c r="Q122" s="96">
        <f t="shared" si="29"/>
        <v>35360</v>
      </c>
      <c r="R122" s="131"/>
    </row>
    <row r="123" spans="1:19" s="52" customFormat="1" ht="313.5" customHeight="1" x14ac:dyDescent="0.25">
      <c r="A123" s="73" t="s">
        <v>278</v>
      </c>
      <c r="B123" s="118"/>
      <c r="C123" s="313" t="s">
        <v>285</v>
      </c>
      <c r="D123" s="90" t="s">
        <v>56</v>
      </c>
      <c r="E123" s="73" t="s">
        <v>74</v>
      </c>
      <c r="F123" s="73" t="s">
        <v>75</v>
      </c>
      <c r="G123" s="74" t="s">
        <v>77</v>
      </c>
      <c r="H123" s="110">
        <v>3</v>
      </c>
      <c r="I123" s="111" t="s">
        <v>287</v>
      </c>
      <c r="J123" s="73" t="s">
        <v>80</v>
      </c>
      <c r="K123" s="237"/>
      <c r="L123" s="96"/>
      <c r="M123" s="96">
        <v>721.7</v>
      </c>
      <c r="N123" s="96"/>
      <c r="O123" s="96"/>
      <c r="P123" s="96"/>
      <c r="Q123" s="96">
        <f t="shared" si="29"/>
        <v>721.7</v>
      </c>
      <c r="R123" s="131"/>
    </row>
    <row r="124" spans="1:19" x14ac:dyDescent="0.25">
      <c r="A124" s="73"/>
      <c r="B124" s="73"/>
      <c r="C124" s="115" t="s">
        <v>15</v>
      </c>
      <c r="D124" s="69"/>
      <c r="E124" s="115"/>
      <c r="F124" s="115"/>
      <c r="G124" s="77"/>
      <c r="H124" s="78"/>
      <c r="I124" s="71"/>
      <c r="J124" s="115"/>
      <c r="K124" s="81">
        <f>SUM(K111:K118)</f>
        <v>9401121.9199999999</v>
      </c>
      <c r="L124" s="81">
        <f>SUM(L111:L121)</f>
        <v>10366003.889999999</v>
      </c>
      <c r="M124" s="81">
        <f>SUM(M111:M123)</f>
        <v>10796286.269999998</v>
      </c>
      <c r="N124" s="81">
        <f>SUM(N111:N118)</f>
        <v>10451508.17</v>
      </c>
      <c r="O124" s="81">
        <f>SUM(O111:O118)</f>
        <v>10451508.17</v>
      </c>
      <c r="P124" s="81">
        <f>SUM(P111:P118)</f>
        <v>10451508.17</v>
      </c>
      <c r="Q124" s="81">
        <f>K124+L124+M124+N124+O124+P124</f>
        <v>61917936.590000004</v>
      </c>
      <c r="R124" s="91"/>
    </row>
    <row r="125" spans="1:19" ht="15.75" customHeight="1" x14ac:dyDescent="0.25">
      <c r="A125" s="73" t="s">
        <v>16</v>
      </c>
      <c r="B125" s="74"/>
      <c r="C125" s="430" t="s">
        <v>35</v>
      </c>
      <c r="D125" s="431"/>
      <c r="E125" s="431"/>
      <c r="F125" s="431"/>
      <c r="G125" s="431"/>
      <c r="H125" s="431"/>
      <c r="I125" s="431"/>
      <c r="J125" s="431"/>
      <c r="K125" s="431"/>
      <c r="L125" s="431"/>
      <c r="M125" s="431"/>
      <c r="N125" s="431"/>
      <c r="O125" s="431"/>
      <c r="P125" s="431"/>
      <c r="Q125" s="432"/>
      <c r="R125" s="90"/>
    </row>
    <row r="126" spans="1:19" ht="125.25" customHeight="1" x14ac:dyDescent="0.25">
      <c r="A126" s="118" t="s">
        <v>17</v>
      </c>
      <c r="B126" s="118"/>
      <c r="C126" s="285" t="s">
        <v>36</v>
      </c>
      <c r="D126" s="288" t="s">
        <v>56</v>
      </c>
      <c r="E126" s="76"/>
      <c r="F126" s="76"/>
      <c r="G126" s="77"/>
      <c r="H126" s="78"/>
      <c r="I126" s="83"/>
      <c r="J126" s="76"/>
      <c r="K126" s="133"/>
      <c r="L126" s="133"/>
      <c r="M126" s="133"/>
      <c r="N126" s="133"/>
      <c r="O126" s="133"/>
      <c r="P126" s="133"/>
      <c r="Q126" s="133">
        <f>SUM(K126:M126)</f>
        <v>0</v>
      </c>
      <c r="R126" s="131" t="s">
        <v>94</v>
      </c>
    </row>
    <row r="127" spans="1:19" x14ac:dyDescent="0.25">
      <c r="A127" s="73"/>
      <c r="B127" s="73"/>
      <c r="C127" s="115" t="s">
        <v>18</v>
      </c>
      <c r="D127" s="69"/>
      <c r="E127" s="115"/>
      <c r="F127" s="115"/>
      <c r="G127" s="77"/>
      <c r="H127" s="78"/>
      <c r="I127" s="71"/>
      <c r="J127" s="115"/>
      <c r="K127" s="165">
        <f>SUM(K126:K126)</f>
        <v>0</v>
      </c>
      <c r="L127" s="165">
        <f>SUM(L126:L126)</f>
        <v>0</v>
      </c>
      <c r="M127" s="165">
        <f>SUM(M126:M126)</f>
        <v>0</v>
      </c>
      <c r="N127" s="165">
        <f>SUM(N126:N126)</f>
        <v>0</v>
      </c>
      <c r="O127" s="165"/>
      <c r="P127" s="165"/>
      <c r="Q127" s="165">
        <f>SUM(Q126:Q126)</f>
        <v>0</v>
      </c>
      <c r="R127" s="91"/>
    </row>
    <row r="128" spans="1:19" ht="15.75" customHeight="1" x14ac:dyDescent="0.25">
      <c r="A128" s="73" t="s">
        <v>19</v>
      </c>
      <c r="B128" s="74"/>
      <c r="C128" s="430" t="s">
        <v>37</v>
      </c>
      <c r="D128" s="431"/>
      <c r="E128" s="431"/>
      <c r="F128" s="431"/>
      <c r="G128" s="431"/>
      <c r="H128" s="431"/>
      <c r="I128" s="431"/>
      <c r="J128" s="431"/>
      <c r="K128" s="431"/>
      <c r="L128" s="431"/>
      <c r="M128" s="431"/>
      <c r="N128" s="431"/>
      <c r="O128" s="431"/>
      <c r="P128" s="431"/>
      <c r="Q128" s="432"/>
      <c r="R128" s="90"/>
    </row>
    <row r="129" spans="1:18" x14ac:dyDescent="0.25">
      <c r="A129" s="450" t="s">
        <v>20</v>
      </c>
      <c r="B129" s="118"/>
      <c r="C129" s="428" t="s">
        <v>131</v>
      </c>
      <c r="D129" s="288" t="s">
        <v>56</v>
      </c>
      <c r="E129" s="76" t="s">
        <v>74</v>
      </c>
      <c r="F129" s="76" t="s">
        <v>27</v>
      </c>
      <c r="G129" s="77" t="s">
        <v>77</v>
      </c>
      <c r="H129" s="78">
        <v>3</v>
      </c>
      <c r="I129" s="83" t="s">
        <v>267</v>
      </c>
      <c r="J129" s="76" t="s">
        <v>80</v>
      </c>
      <c r="K129" s="133">
        <f>16000+4000</f>
        <v>20000</v>
      </c>
      <c r="L129" s="133"/>
      <c r="M129" s="133"/>
      <c r="N129" s="133"/>
      <c r="O129" s="133"/>
      <c r="P129" s="133"/>
      <c r="Q129" s="133">
        <f>SUM(K129:O129)</f>
        <v>20000</v>
      </c>
      <c r="R129" s="447" t="s">
        <v>89</v>
      </c>
    </row>
    <row r="130" spans="1:18" x14ac:dyDescent="0.25">
      <c r="A130" s="451"/>
      <c r="B130" s="120"/>
      <c r="C130" s="429"/>
      <c r="D130" s="288" t="s">
        <v>56</v>
      </c>
      <c r="E130" s="76" t="s">
        <v>74</v>
      </c>
      <c r="F130" s="83" t="s">
        <v>27</v>
      </c>
      <c r="G130" s="84" t="s">
        <v>77</v>
      </c>
      <c r="H130" s="78">
        <v>3</v>
      </c>
      <c r="I130" s="83" t="s">
        <v>267</v>
      </c>
      <c r="J130" s="76" t="s">
        <v>28</v>
      </c>
      <c r="K130" s="133">
        <f>15000+3880</f>
        <v>18880</v>
      </c>
      <c r="L130" s="133"/>
      <c r="M130" s="133"/>
      <c r="N130" s="133"/>
      <c r="O130" s="133"/>
      <c r="P130" s="133"/>
      <c r="Q130" s="133">
        <f t="shared" ref="Q130:Q134" si="30">SUM(K130:O130)</f>
        <v>18880</v>
      </c>
      <c r="R130" s="449"/>
    </row>
    <row r="131" spans="1:18" x14ac:dyDescent="0.25">
      <c r="A131" s="450" t="s">
        <v>98</v>
      </c>
      <c r="B131" s="118"/>
      <c r="C131" s="428" t="s">
        <v>116</v>
      </c>
      <c r="D131" s="288" t="s">
        <v>56</v>
      </c>
      <c r="E131" s="76" t="s">
        <v>74</v>
      </c>
      <c r="F131" s="83" t="s">
        <v>27</v>
      </c>
      <c r="G131" s="84" t="s">
        <v>77</v>
      </c>
      <c r="H131" s="78">
        <v>3</v>
      </c>
      <c r="I131" s="83" t="s">
        <v>268</v>
      </c>
      <c r="J131" s="76" t="s">
        <v>80</v>
      </c>
      <c r="K131" s="133">
        <v>90000</v>
      </c>
      <c r="L131" s="133"/>
      <c r="M131" s="133"/>
      <c r="N131" s="133"/>
      <c r="O131" s="133"/>
      <c r="P131" s="133"/>
      <c r="Q131" s="133">
        <f t="shared" si="30"/>
        <v>90000</v>
      </c>
      <c r="R131" s="447" t="s">
        <v>107</v>
      </c>
    </row>
    <row r="132" spans="1:18" x14ac:dyDescent="0.25">
      <c r="A132" s="451"/>
      <c r="B132" s="120"/>
      <c r="C132" s="429"/>
      <c r="D132" s="288" t="s">
        <v>56</v>
      </c>
      <c r="E132" s="76" t="s">
        <v>74</v>
      </c>
      <c r="F132" s="83" t="s">
        <v>27</v>
      </c>
      <c r="G132" s="84" t="s">
        <v>77</v>
      </c>
      <c r="H132" s="78">
        <v>3</v>
      </c>
      <c r="I132" s="83" t="s">
        <v>268</v>
      </c>
      <c r="J132" s="76" t="s">
        <v>28</v>
      </c>
      <c r="K132" s="133">
        <v>0</v>
      </c>
      <c r="L132" s="133"/>
      <c r="M132" s="133"/>
      <c r="N132" s="133"/>
      <c r="O132" s="133"/>
      <c r="P132" s="133"/>
      <c r="Q132" s="133">
        <f t="shared" si="30"/>
        <v>0</v>
      </c>
      <c r="R132" s="449"/>
    </row>
    <row r="133" spans="1:18" ht="43.5" customHeight="1" x14ac:dyDescent="0.25">
      <c r="A133" s="450" t="s">
        <v>134</v>
      </c>
      <c r="B133" s="450"/>
      <c r="C133" s="428" t="s">
        <v>132</v>
      </c>
      <c r="D133" s="428" t="s">
        <v>56</v>
      </c>
      <c r="E133" s="76" t="s">
        <v>74</v>
      </c>
      <c r="F133" s="83" t="s">
        <v>27</v>
      </c>
      <c r="G133" s="84" t="s">
        <v>77</v>
      </c>
      <c r="H133" s="78">
        <v>3</v>
      </c>
      <c r="I133" s="116" t="s">
        <v>269</v>
      </c>
      <c r="J133" s="76" t="s">
        <v>28</v>
      </c>
      <c r="K133" s="133">
        <v>75500</v>
      </c>
      <c r="L133" s="133"/>
      <c r="M133" s="133"/>
      <c r="N133" s="133"/>
      <c r="O133" s="133"/>
      <c r="P133" s="133"/>
      <c r="Q133" s="133">
        <f t="shared" si="30"/>
        <v>75500</v>
      </c>
      <c r="R133" s="124"/>
    </row>
    <row r="134" spans="1:18" ht="68.25" customHeight="1" x14ac:dyDescent="0.25">
      <c r="A134" s="451"/>
      <c r="B134" s="452"/>
      <c r="C134" s="429"/>
      <c r="D134" s="429"/>
      <c r="E134" s="128" t="s">
        <v>74</v>
      </c>
      <c r="F134" s="116" t="s">
        <v>27</v>
      </c>
      <c r="G134" s="129" t="s">
        <v>77</v>
      </c>
      <c r="H134" s="166">
        <v>3</v>
      </c>
      <c r="I134" s="116" t="s">
        <v>269</v>
      </c>
      <c r="J134" s="116" t="s">
        <v>80</v>
      </c>
      <c r="K134" s="133">
        <v>80000</v>
      </c>
      <c r="L134" s="133"/>
      <c r="M134" s="133"/>
      <c r="N134" s="133"/>
      <c r="O134" s="133"/>
      <c r="P134" s="133"/>
      <c r="Q134" s="133">
        <f t="shared" si="30"/>
        <v>80000</v>
      </c>
      <c r="R134" s="124"/>
    </row>
    <row r="135" spans="1:18" ht="75" x14ac:dyDescent="0.25">
      <c r="A135" s="118" t="s">
        <v>133</v>
      </c>
      <c r="B135" s="119"/>
      <c r="C135" s="286" t="s">
        <v>117</v>
      </c>
      <c r="D135" s="285" t="s">
        <v>56</v>
      </c>
      <c r="E135" s="76" t="s">
        <v>74</v>
      </c>
      <c r="F135" s="83" t="s">
        <v>26</v>
      </c>
      <c r="G135" s="84" t="s">
        <v>77</v>
      </c>
      <c r="H135" s="78">
        <v>3</v>
      </c>
      <c r="I135" s="83" t="s">
        <v>270</v>
      </c>
      <c r="J135" s="76" t="s">
        <v>28</v>
      </c>
      <c r="K135" s="133">
        <v>250000</v>
      </c>
      <c r="L135" s="133">
        <f>250000-20000</f>
        <v>230000</v>
      </c>
      <c r="M135" s="133">
        <f>124500+20000</f>
        <v>144500</v>
      </c>
      <c r="N135" s="133">
        <v>167200</v>
      </c>
      <c r="O135" s="133">
        <v>167200</v>
      </c>
      <c r="P135" s="133">
        <v>167200</v>
      </c>
      <c r="Q135" s="133">
        <f>SUM(K135:P135)</f>
        <v>1126100</v>
      </c>
      <c r="R135" s="124"/>
    </row>
    <row r="136" spans="1:18" x14ac:dyDescent="0.25">
      <c r="A136" s="73"/>
      <c r="B136" s="73"/>
      <c r="C136" s="115" t="s">
        <v>21</v>
      </c>
      <c r="D136" s="69"/>
      <c r="E136" s="115"/>
      <c r="F136" s="115"/>
      <c r="G136" s="77"/>
      <c r="H136" s="78"/>
      <c r="I136" s="71"/>
      <c r="J136" s="115"/>
      <c r="K136" s="133">
        <f>SUM(K129:K135)</f>
        <v>534380</v>
      </c>
      <c r="L136" s="133">
        <f t="shared" ref="L136" si="31">SUM(L129:L135)</f>
        <v>230000</v>
      </c>
      <c r="M136" s="133">
        <f>SUM(M129:M135)</f>
        <v>144500</v>
      </c>
      <c r="N136" s="133">
        <f t="shared" ref="N136:P136" si="32">SUM(N129:N135)</f>
        <v>167200</v>
      </c>
      <c r="O136" s="133">
        <f t="shared" si="32"/>
        <v>167200</v>
      </c>
      <c r="P136" s="133">
        <f t="shared" si="32"/>
        <v>167200</v>
      </c>
      <c r="Q136" s="133">
        <f>SUM(Q129:Q135)</f>
        <v>1410480</v>
      </c>
      <c r="R136" s="91"/>
    </row>
    <row r="137" spans="1:18" ht="15.75" customHeight="1" x14ac:dyDescent="0.25">
      <c r="A137" s="73" t="s">
        <v>22</v>
      </c>
      <c r="B137" s="74"/>
      <c r="C137" s="430" t="s">
        <v>38</v>
      </c>
      <c r="D137" s="431"/>
      <c r="E137" s="431"/>
      <c r="F137" s="431"/>
      <c r="G137" s="431"/>
      <c r="H137" s="431"/>
      <c r="I137" s="431"/>
      <c r="J137" s="431"/>
      <c r="K137" s="431"/>
      <c r="L137" s="431"/>
      <c r="M137" s="431"/>
      <c r="N137" s="431"/>
      <c r="O137" s="431"/>
      <c r="P137" s="431"/>
      <c r="Q137" s="432"/>
      <c r="R137" s="91"/>
    </row>
    <row r="138" spans="1:18" x14ac:dyDescent="0.25">
      <c r="A138" s="450" t="s">
        <v>31</v>
      </c>
      <c r="B138" s="331"/>
      <c r="C138" s="428" t="s">
        <v>135</v>
      </c>
      <c r="D138" s="453" t="s">
        <v>56</v>
      </c>
      <c r="E138" s="76" t="s">
        <v>74</v>
      </c>
      <c r="F138" s="76" t="s">
        <v>75</v>
      </c>
      <c r="G138" s="77" t="s">
        <v>77</v>
      </c>
      <c r="H138" s="78">
        <v>3</v>
      </c>
      <c r="I138" s="111" t="s">
        <v>249</v>
      </c>
      <c r="J138" s="76" t="s">
        <v>80</v>
      </c>
      <c r="K138" s="133">
        <v>60000</v>
      </c>
      <c r="L138" s="133"/>
      <c r="M138" s="133"/>
      <c r="N138" s="133"/>
      <c r="O138" s="133"/>
      <c r="P138" s="133"/>
      <c r="Q138" s="133">
        <f>SUM(K138:N138)</f>
        <v>60000</v>
      </c>
      <c r="R138" s="447" t="s">
        <v>105</v>
      </c>
    </row>
    <row r="139" spans="1:18" ht="165.75" customHeight="1" x14ac:dyDescent="0.25">
      <c r="A139" s="451"/>
      <c r="B139" s="333"/>
      <c r="C139" s="429"/>
      <c r="D139" s="454"/>
      <c r="E139" s="76" t="s">
        <v>74</v>
      </c>
      <c r="F139" s="76" t="s">
        <v>27</v>
      </c>
      <c r="G139" s="77" t="s">
        <v>77</v>
      </c>
      <c r="H139" s="78">
        <v>3</v>
      </c>
      <c r="I139" s="111" t="s">
        <v>249</v>
      </c>
      <c r="J139" s="76" t="s">
        <v>80</v>
      </c>
      <c r="K139" s="133">
        <f>90000+60000-50000</f>
        <v>100000</v>
      </c>
      <c r="L139" s="133">
        <f>400000+37559</f>
        <v>437559</v>
      </c>
      <c r="M139" s="133"/>
      <c r="N139" s="133"/>
      <c r="O139" s="133"/>
      <c r="P139" s="133"/>
      <c r="Q139" s="133">
        <f>SUM(K139:N139)</f>
        <v>537559</v>
      </c>
      <c r="R139" s="449"/>
    </row>
    <row r="140" spans="1:18" ht="244.5" customHeight="1" x14ac:dyDescent="0.25">
      <c r="A140" s="73" t="s">
        <v>39</v>
      </c>
      <c r="B140" s="73"/>
      <c r="C140" s="115" t="s">
        <v>61</v>
      </c>
      <c r="D140" s="69" t="s">
        <v>56</v>
      </c>
      <c r="E140" s="76"/>
      <c r="F140" s="76"/>
      <c r="G140" s="77"/>
      <c r="H140" s="78"/>
      <c r="I140" s="83"/>
      <c r="J140" s="76"/>
      <c r="K140" s="133"/>
      <c r="L140" s="133"/>
      <c r="M140" s="133"/>
      <c r="N140" s="133"/>
      <c r="O140" s="133"/>
      <c r="P140" s="133"/>
      <c r="Q140" s="133">
        <f t="shared" ref="Q140:Q151" si="33">SUM(K140:M140)</f>
        <v>0</v>
      </c>
      <c r="R140" s="167" t="s">
        <v>90</v>
      </c>
    </row>
    <row r="141" spans="1:18" ht="127.5" customHeight="1" x14ac:dyDescent="0.25">
      <c r="A141" s="73" t="s">
        <v>40</v>
      </c>
      <c r="B141" s="73"/>
      <c r="C141" s="115" t="s">
        <v>62</v>
      </c>
      <c r="D141" s="69" t="s">
        <v>56</v>
      </c>
      <c r="E141" s="76"/>
      <c r="F141" s="76"/>
      <c r="G141" s="77"/>
      <c r="H141" s="78"/>
      <c r="I141" s="83"/>
      <c r="J141" s="76"/>
      <c r="K141" s="133"/>
      <c r="L141" s="133"/>
      <c r="M141" s="133"/>
      <c r="N141" s="133"/>
      <c r="O141" s="133"/>
      <c r="P141" s="133"/>
      <c r="Q141" s="133">
        <f t="shared" si="33"/>
        <v>0</v>
      </c>
      <c r="R141" s="131"/>
    </row>
    <row r="142" spans="1:18" ht="33.75" customHeight="1" x14ac:dyDescent="0.25">
      <c r="A142" s="450" t="s">
        <v>41</v>
      </c>
      <c r="B142" s="450"/>
      <c r="C142" s="455" t="s">
        <v>136</v>
      </c>
      <c r="D142" s="69" t="s">
        <v>56</v>
      </c>
      <c r="E142" s="76" t="s">
        <v>74</v>
      </c>
      <c r="F142" s="76" t="s">
        <v>27</v>
      </c>
      <c r="G142" s="77" t="s">
        <v>77</v>
      </c>
      <c r="H142" s="78">
        <v>3</v>
      </c>
      <c r="I142" s="111" t="s">
        <v>250</v>
      </c>
      <c r="J142" s="76" t="s">
        <v>28</v>
      </c>
      <c r="K142" s="168">
        <f>200000+20000+58031.49</f>
        <v>278031.49</v>
      </c>
      <c r="L142" s="169"/>
      <c r="M142" s="172">
        <v>161002.39000000001</v>
      </c>
      <c r="N142" s="133">
        <v>0</v>
      </c>
      <c r="O142" s="133"/>
      <c r="P142" s="133"/>
      <c r="Q142" s="168">
        <f t="shared" ref="Q142:Q150" si="34">SUM(K142:N142)</f>
        <v>439033.88</v>
      </c>
      <c r="R142" s="131" t="s">
        <v>137</v>
      </c>
    </row>
    <row r="143" spans="1:18" ht="33.75" customHeight="1" x14ac:dyDescent="0.25">
      <c r="A143" s="452"/>
      <c r="B143" s="452"/>
      <c r="C143" s="456"/>
      <c r="D143" s="69" t="s">
        <v>56</v>
      </c>
      <c r="E143" s="76" t="s">
        <v>74</v>
      </c>
      <c r="F143" s="76" t="s">
        <v>75</v>
      </c>
      <c r="G143" s="77" t="s">
        <v>77</v>
      </c>
      <c r="H143" s="78">
        <v>3</v>
      </c>
      <c r="I143" s="111" t="s">
        <v>250</v>
      </c>
      <c r="J143" s="76" t="s">
        <v>80</v>
      </c>
      <c r="K143" s="168"/>
      <c r="L143" s="133">
        <v>300000</v>
      </c>
      <c r="M143" s="133">
        <v>0</v>
      </c>
      <c r="N143" s="172">
        <v>183110.42</v>
      </c>
      <c r="O143" s="133"/>
      <c r="P143" s="133"/>
      <c r="Q143" s="168">
        <f>SUM(K143:P143)</f>
        <v>483110.42000000004</v>
      </c>
      <c r="R143" s="170" t="s">
        <v>108</v>
      </c>
    </row>
    <row r="144" spans="1:18" ht="34.5" customHeight="1" x14ac:dyDescent="0.25">
      <c r="A144" s="452"/>
      <c r="B144" s="452"/>
      <c r="C144" s="456"/>
      <c r="D144" s="69" t="s">
        <v>56</v>
      </c>
      <c r="E144" s="76" t="s">
        <v>74</v>
      </c>
      <c r="F144" s="76" t="s">
        <v>27</v>
      </c>
      <c r="G144" s="77" t="s">
        <v>77</v>
      </c>
      <c r="H144" s="78">
        <v>3</v>
      </c>
      <c r="I144" s="111" t="s">
        <v>250</v>
      </c>
      <c r="J144" s="76" t="s">
        <v>80</v>
      </c>
      <c r="K144" s="168">
        <f>700000+300000+163915.45+50000</f>
        <v>1213915.45</v>
      </c>
      <c r="L144" s="171">
        <f>329682.99+1000000+133252.22</f>
        <v>1462935.21</v>
      </c>
      <c r="M144" s="172">
        <v>178632.07</v>
      </c>
      <c r="N144" s="172">
        <v>182933.59</v>
      </c>
      <c r="O144" s="133"/>
      <c r="P144" s="133"/>
      <c r="Q144" s="168">
        <f>SUM(K144:P144)</f>
        <v>3038416.32</v>
      </c>
      <c r="R144" s="170" t="s">
        <v>108</v>
      </c>
    </row>
    <row r="145" spans="1:18" s="27" customFormat="1" ht="34.5" customHeight="1" x14ac:dyDescent="0.25">
      <c r="A145" s="452"/>
      <c r="B145" s="452"/>
      <c r="C145" s="456"/>
      <c r="D145" s="69" t="s">
        <v>56</v>
      </c>
      <c r="E145" s="76" t="s">
        <v>74</v>
      </c>
      <c r="F145" s="76" t="s">
        <v>27</v>
      </c>
      <c r="G145" s="77" t="s">
        <v>77</v>
      </c>
      <c r="H145" s="78">
        <v>3</v>
      </c>
      <c r="I145" s="111" t="s">
        <v>250</v>
      </c>
      <c r="J145" s="76" t="s">
        <v>174</v>
      </c>
      <c r="K145" s="168"/>
      <c r="L145" s="171">
        <v>57251.54</v>
      </c>
      <c r="M145" s="133"/>
      <c r="N145" s="133"/>
      <c r="O145" s="133"/>
      <c r="P145" s="133"/>
      <c r="Q145" s="168">
        <f>L145</f>
        <v>57251.54</v>
      </c>
      <c r="R145" s="170" t="s">
        <v>108</v>
      </c>
    </row>
    <row r="146" spans="1:18" s="27" customFormat="1" ht="34.5" customHeight="1" x14ac:dyDescent="0.25">
      <c r="A146" s="452"/>
      <c r="B146" s="452"/>
      <c r="C146" s="456"/>
      <c r="D146" s="69" t="s">
        <v>56</v>
      </c>
      <c r="E146" s="76" t="s">
        <v>74</v>
      </c>
      <c r="F146" s="76" t="s">
        <v>27</v>
      </c>
      <c r="G146" s="77" t="s">
        <v>77</v>
      </c>
      <c r="H146" s="78">
        <v>3</v>
      </c>
      <c r="I146" s="111" t="s">
        <v>250</v>
      </c>
      <c r="J146" s="76" t="s">
        <v>28</v>
      </c>
      <c r="K146" s="168"/>
      <c r="L146" s="171">
        <v>46000</v>
      </c>
      <c r="M146" s="133"/>
      <c r="N146" s="133"/>
      <c r="O146" s="133"/>
      <c r="P146" s="133"/>
      <c r="Q146" s="168">
        <f>L146</f>
        <v>46000</v>
      </c>
      <c r="R146" s="170" t="s">
        <v>108</v>
      </c>
    </row>
    <row r="147" spans="1:18" s="56" customFormat="1" ht="34.5" customHeight="1" x14ac:dyDescent="0.25">
      <c r="A147" s="372"/>
      <c r="B147" s="372"/>
      <c r="C147" s="457"/>
      <c r="D147" s="69" t="s">
        <v>56</v>
      </c>
      <c r="E147" s="76" t="s">
        <v>74</v>
      </c>
      <c r="F147" s="76" t="s">
        <v>27</v>
      </c>
      <c r="G147" s="77" t="s">
        <v>77</v>
      </c>
      <c r="H147" s="78">
        <v>3</v>
      </c>
      <c r="I147" s="111" t="s">
        <v>297</v>
      </c>
      <c r="J147" s="76" t="s">
        <v>80</v>
      </c>
      <c r="K147" s="168"/>
      <c r="L147" s="171"/>
      <c r="M147" s="133">
        <v>600000</v>
      </c>
      <c r="N147" s="133"/>
      <c r="O147" s="133"/>
      <c r="P147" s="133"/>
      <c r="Q147" s="168">
        <f>M147</f>
        <v>600000</v>
      </c>
      <c r="R147" s="170" t="s">
        <v>108</v>
      </c>
    </row>
    <row r="148" spans="1:18" ht="165" x14ac:dyDescent="0.25">
      <c r="A148" s="73" t="s">
        <v>64</v>
      </c>
      <c r="B148" s="73"/>
      <c r="C148" s="115" t="s">
        <v>135</v>
      </c>
      <c r="D148" s="69" t="s">
        <v>56</v>
      </c>
      <c r="E148" s="76" t="s">
        <v>74</v>
      </c>
      <c r="F148" s="76" t="s">
        <v>27</v>
      </c>
      <c r="G148" s="77" t="s">
        <v>77</v>
      </c>
      <c r="H148" s="78">
        <v>3</v>
      </c>
      <c r="I148" s="111" t="s">
        <v>249</v>
      </c>
      <c r="J148" s="76" t="s">
        <v>28</v>
      </c>
      <c r="K148" s="133">
        <v>150000</v>
      </c>
      <c r="L148" s="133"/>
      <c r="M148" s="133"/>
      <c r="N148" s="133"/>
      <c r="O148" s="133"/>
      <c r="P148" s="133"/>
      <c r="Q148" s="172">
        <f t="shared" si="34"/>
        <v>150000</v>
      </c>
      <c r="R148" s="167" t="s">
        <v>110</v>
      </c>
    </row>
    <row r="149" spans="1:18" ht="117" customHeight="1" x14ac:dyDescent="0.25">
      <c r="A149" s="73" t="s">
        <v>42</v>
      </c>
      <c r="B149" s="73"/>
      <c r="C149" s="115" t="s">
        <v>118</v>
      </c>
      <c r="D149" s="69" t="s">
        <v>56</v>
      </c>
      <c r="E149" s="76" t="s">
        <v>74</v>
      </c>
      <c r="F149" s="76" t="s">
        <v>27</v>
      </c>
      <c r="G149" s="77" t="s">
        <v>77</v>
      </c>
      <c r="H149" s="78">
        <v>3</v>
      </c>
      <c r="I149" s="83" t="s">
        <v>271</v>
      </c>
      <c r="J149" s="76" t="s">
        <v>80</v>
      </c>
      <c r="K149" s="133">
        <v>90000</v>
      </c>
      <c r="L149" s="133"/>
      <c r="M149" s="133"/>
      <c r="N149" s="133"/>
      <c r="O149" s="133"/>
      <c r="P149" s="133"/>
      <c r="Q149" s="172">
        <f t="shared" si="34"/>
        <v>90000</v>
      </c>
      <c r="R149" s="131" t="s">
        <v>109</v>
      </c>
    </row>
    <row r="150" spans="1:18" ht="240" x14ac:dyDescent="0.25">
      <c r="A150" s="73" t="s">
        <v>69</v>
      </c>
      <c r="B150" s="73"/>
      <c r="C150" s="115" t="s">
        <v>65</v>
      </c>
      <c r="D150" s="69" t="s">
        <v>56</v>
      </c>
      <c r="E150" s="76" t="s">
        <v>74</v>
      </c>
      <c r="F150" s="76" t="s">
        <v>27</v>
      </c>
      <c r="G150" s="77" t="s">
        <v>77</v>
      </c>
      <c r="H150" s="78">
        <v>3</v>
      </c>
      <c r="I150" s="83" t="s">
        <v>272</v>
      </c>
      <c r="J150" s="76" t="s">
        <v>80</v>
      </c>
      <c r="K150" s="133">
        <f>100000</f>
        <v>100000</v>
      </c>
      <c r="L150" s="133"/>
      <c r="M150" s="133"/>
      <c r="N150" s="133"/>
      <c r="O150" s="133"/>
      <c r="P150" s="133"/>
      <c r="Q150" s="172">
        <f t="shared" si="34"/>
        <v>100000</v>
      </c>
      <c r="R150" s="131" t="s">
        <v>91</v>
      </c>
    </row>
    <row r="151" spans="1:18" ht="225" x14ac:dyDescent="0.25">
      <c r="A151" s="73" t="s">
        <v>70</v>
      </c>
      <c r="B151" s="118"/>
      <c r="C151" s="285" t="s">
        <v>63</v>
      </c>
      <c r="D151" s="69"/>
      <c r="E151" s="76"/>
      <c r="F151" s="76"/>
      <c r="G151" s="77"/>
      <c r="H151" s="78"/>
      <c r="I151" s="83"/>
      <c r="J151" s="76"/>
      <c r="K151" s="133"/>
      <c r="L151" s="133"/>
      <c r="M151" s="133"/>
      <c r="N151" s="133"/>
      <c r="O151" s="133"/>
      <c r="P151" s="133"/>
      <c r="Q151" s="172">
        <f t="shared" si="33"/>
        <v>0</v>
      </c>
      <c r="R151" s="131" t="s">
        <v>95</v>
      </c>
    </row>
    <row r="152" spans="1:18" ht="204.75" customHeight="1" x14ac:dyDescent="0.25">
      <c r="A152" s="73" t="s">
        <v>149</v>
      </c>
      <c r="B152" s="73"/>
      <c r="C152" s="115" t="s">
        <v>150</v>
      </c>
      <c r="D152" s="69" t="s">
        <v>56</v>
      </c>
      <c r="E152" s="76" t="s">
        <v>74</v>
      </c>
      <c r="F152" s="76" t="s">
        <v>27</v>
      </c>
      <c r="G152" s="77" t="s">
        <v>77</v>
      </c>
      <c r="H152" s="78">
        <v>3</v>
      </c>
      <c r="I152" s="83" t="s">
        <v>273</v>
      </c>
      <c r="J152" s="76" t="s">
        <v>28</v>
      </c>
      <c r="K152" s="133">
        <f>400000</f>
        <v>400000</v>
      </c>
      <c r="L152" s="133"/>
      <c r="M152" s="133"/>
      <c r="N152" s="133"/>
      <c r="O152" s="133"/>
      <c r="P152" s="133"/>
      <c r="Q152" s="172">
        <f>SUM(K152:N152)</f>
        <v>400000</v>
      </c>
      <c r="R152" s="131"/>
    </row>
    <row r="153" spans="1:18" s="39" customFormat="1" ht="204.75" customHeight="1" x14ac:dyDescent="0.25">
      <c r="A153" s="73" t="s">
        <v>234</v>
      </c>
      <c r="B153" s="73"/>
      <c r="C153" s="90" t="s">
        <v>237</v>
      </c>
      <c r="D153" s="91" t="s">
        <v>56</v>
      </c>
      <c r="E153" s="73" t="s">
        <v>74</v>
      </c>
      <c r="F153" s="73" t="s">
        <v>27</v>
      </c>
      <c r="G153" s="74" t="s">
        <v>77</v>
      </c>
      <c r="H153" s="110">
        <v>3</v>
      </c>
      <c r="I153" s="111" t="s">
        <v>274</v>
      </c>
      <c r="J153" s="73" t="s">
        <v>28</v>
      </c>
      <c r="K153" s="133"/>
      <c r="L153" s="314">
        <f>235833.42+155637.83</f>
        <v>391471.25</v>
      </c>
      <c r="M153" s="133"/>
      <c r="N153" s="133"/>
      <c r="O153" s="133"/>
      <c r="P153" s="133"/>
      <c r="Q153" s="172">
        <f>SUM(K153:N153)</f>
        <v>391471.25</v>
      </c>
      <c r="R153" s="131"/>
    </row>
    <row r="154" spans="1:18" s="39" customFormat="1" ht="204.75" customHeight="1" x14ac:dyDescent="0.25">
      <c r="A154" s="73" t="s">
        <v>236</v>
      </c>
      <c r="B154" s="73"/>
      <c r="C154" s="90" t="s">
        <v>237</v>
      </c>
      <c r="D154" s="91" t="s">
        <v>56</v>
      </c>
      <c r="E154" s="73" t="s">
        <v>74</v>
      </c>
      <c r="F154" s="73" t="s">
        <v>27</v>
      </c>
      <c r="G154" s="74" t="s">
        <v>77</v>
      </c>
      <c r="H154" s="110">
        <v>3</v>
      </c>
      <c r="I154" s="111" t="s">
        <v>274</v>
      </c>
      <c r="J154" s="73" t="s">
        <v>174</v>
      </c>
      <c r="K154" s="133"/>
      <c r="L154" s="315">
        <v>62503.7</v>
      </c>
      <c r="M154" s="133"/>
      <c r="N154" s="133"/>
      <c r="O154" s="133"/>
      <c r="P154" s="133"/>
      <c r="Q154" s="172">
        <f t="shared" ref="Q154:Q156" si="35">SUM(K154:N154)</f>
        <v>62503.7</v>
      </c>
      <c r="R154" s="131"/>
    </row>
    <row r="155" spans="1:18" s="39" customFormat="1" ht="204.75" customHeight="1" x14ac:dyDescent="0.25">
      <c r="A155" s="73" t="s">
        <v>235</v>
      </c>
      <c r="B155" s="73"/>
      <c r="C155" s="90" t="s">
        <v>237</v>
      </c>
      <c r="D155" s="91" t="s">
        <v>56</v>
      </c>
      <c r="E155" s="73" t="s">
        <v>74</v>
      </c>
      <c r="F155" s="73" t="s">
        <v>27</v>
      </c>
      <c r="G155" s="74" t="s">
        <v>77</v>
      </c>
      <c r="H155" s="110">
        <v>3</v>
      </c>
      <c r="I155" s="111" t="s">
        <v>274</v>
      </c>
      <c r="J155" s="73" t="s">
        <v>80</v>
      </c>
      <c r="K155" s="133"/>
      <c r="L155" s="314">
        <f>43597.2+115370.63</f>
        <v>158967.83000000002</v>
      </c>
      <c r="M155" s="133"/>
      <c r="N155" s="133"/>
      <c r="O155" s="133"/>
      <c r="P155" s="133"/>
      <c r="Q155" s="172">
        <f t="shared" si="35"/>
        <v>158967.83000000002</v>
      </c>
      <c r="R155" s="131"/>
    </row>
    <row r="156" spans="1:18" s="56" customFormat="1" ht="209.25" customHeight="1" x14ac:dyDescent="0.25">
      <c r="A156" s="382"/>
      <c r="B156" s="382"/>
      <c r="C156" s="90" t="s">
        <v>307</v>
      </c>
      <c r="D156" s="91" t="s">
        <v>56</v>
      </c>
      <c r="E156" s="379" t="s">
        <v>74</v>
      </c>
      <c r="F156" s="379" t="s">
        <v>27</v>
      </c>
      <c r="G156" s="162" t="s">
        <v>77</v>
      </c>
      <c r="H156" s="378">
        <v>3</v>
      </c>
      <c r="I156" s="79" t="s">
        <v>301</v>
      </c>
      <c r="J156" s="379" t="s">
        <v>28</v>
      </c>
      <c r="K156" s="133"/>
      <c r="L156" s="314"/>
      <c r="M156" s="133"/>
      <c r="N156" s="133">
        <f>2093070</f>
        <v>2093070</v>
      </c>
      <c r="O156" s="133"/>
      <c r="P156" s="133"/>
      <c r="Q156" s="172">
        <f t="shared" si="35"/>
        <v>2093070</v>
      </c>
      <c r="R156" s="131"/>
    </row>
    <row r="157" spans="1:18" x14ac:dyDescent="0.25">
      <c r="A157" s="73"/>
      <c r="B157" s="73"/>
      <c r="C157" s="115" t="s">
        <v>23</v>
      </c>
      <c r="D157" s="69"/>
      <c r="E157" s="115"/>
      <c r="F157" s="115"/>
      <c r="G157" s="77"/>
      <c r="H157" s="78"/>
      <c r="I157" s="71"/>
      <c r="J157" s="115"/>
      <c r="K157" s="172">
        <f>SUM(K138:K152)</f>
        <v>2391946.94</v>
      </c>
      <c r="L157" s="172">
        <f>SUM(L138:L155)</f>
        <v>2916688.5300000003</v>
      </c>
      <c r="M157" s="172">
        <f>SUM(M138:M151)</f>
        <v>939634.46</v>
      </c>
      <c r="N157" s="172">
        <f>SUM(N138:N156)</f>
        <v>2459114.0099999998</v>
      </c>
      <c r="O157" s="172"/>
      <c r="P157" s="172"/>
      <c r="Q157" s="172">
        <f>SUM(Q138:Q156)</f>
        <v>8707383.9400000013</v>
      </c>
      <c r="R157" s="91"/>
    </row>
    <row r="158" spans="1:18" ht="15.75" customHeight="1" x14ac:dyDescent="0.25">
      <c r="A158" s="75" t="s">
        <v>67</v>
      </c>
      <c r="B158" s="175"/>
      <c r="C158" s="430" t="s">
        <v>229</v>
      </c>
      <c r="D158" s="431"/>
      <c r="E158" s="431"/>
      <c r="F158" s="431"/>
      <c r="G158" s="431"/>
      <c r="H158" s="431"/>
      <c r="I158" s="431"/>
      <c r="J158" s="431"/>
      <c r="K158" s="431"/>
      <c r="L158" s="431"/>
      <c r="M158" s="431"/>
      <c r="N158" s="431"/>
      <c r="O158" s="431"/>
      <c r="P158" s="431"/>
      <c r="Q158" s="432"/>
      <c r="R158" s="176"/>
    </row>
    <row r="159" spans="1:18" ht="15.75" customHeight="1" x14ac:dyDescent="0.25">
      <c r="A159" s="177" t="s">
        <v>43</v>
      </c>
      <c r="B159" s="177"/>
      <c r="C159" s="453" t="s">
        <v>66</v>
      </c>
      <c r="D159" s="288" t="s">
        <v>56</v>
      </c>
      <c r="E159" s="76" t="s">
        <v>74</v>
      </c>
      <c r="F159" s="76" t="s">
        <v>26</v>
      </c>
      <c r="G159" s="77" t="s">
        <v>77</v>
      </c>
      <c r="H159" s="78">
        <v>3</v>
      </c>
      <c r="I159" s="111" t="s">
        <v>248</v>
      </c>
      <c r="J159" s="76" t="s">
        <v>45</v>
      </c>
      <c r="K159" s="178">
        <v>630921.29</v>
      </c>
      <c r="L159" s="178">
        <v>851638.78</v>
      </c>
      <c r="M159" s="178">
        <v>881415.33</v>
      </c>
      <c r="N159" s="178">
        <v>893356.96</v>
      </c>
      <c r="O159" s="178">
        <v>893356.96</v>
      </c>
      <c r="P159" s="178">
        <v>893356.96</v>
      </c>
      <c r="Q159" s="178">
        <f>SUM(K159:P159)</f>
        <v>5044046.2799999993</v>
      </c>
      <c r="R159" s="447"/>
    </row>
    <row r="160" spans="1:18" s="48" customFormat="1" x14ac:dyDescent="0.25">
      <c r="A160" s="179"/>
      <c r="B160" s="179"/>
      <c r="C160" s="460"/>
      <c r="D160" s="290" t="s">
        <v>56</v>
      </c>
      <c r="E160" s="73" t="s">
        <v>74</v>
      </c>
      <c r="F160" s="73" t="s">
        <v>26</v>
      </c>
      <c r="G160" s="74" t="s">
        <v>77</v>
      </c>
      <c r="H160" s="110">
        <v>3</v>
      </c>
      <c r="I160" s="316" t="s">
        <v>279</v>
      </c>
      <c r="J160" s="73" t="s">
        <v>45</v>
      </c>
      <c r="K160" s="317">
        <v>192955</v>
      </c>
      <c r="L160" s="186">
        <v>279508.87</v>
      </c>
      <c r="M160" s="186">
        <v>269610.46000000002</v>
      </c>
      <c r="N160" s="186">
        <v>258552.31</v>
      </c>
      <c r="O160" s="186">
        <v>258552.31</v>
      </c>
      <c r="P160" s="186">
        <v>258552.31</v>
      </c>
      <c r="Q160" s="186">
        <f>SUM(K160:P160)</f>
        <v>1517731.2600000002</v>
      </c>
      <c r="R160" s="448"/>
    </row>
    <row r="161" spans="1:19" s="44" customFormat="1" x14ac:dyDescent="0.25">
      <c r="A161" s="179"/>
      <c r="B161" s="179"/>
      <c r="C161" s="460"/>
      <c r="D161" s="288" t="s">
        <v>56</v>
      </c>
      <c r="E161" s="76" t="s">
        <v>74</v>
      </c>
      <c r="F161" s="83" t="s">
        <v>26</v>
      </c>
      <c r="G161" s="84" t="s">
        <v>77</v>
      </c>
      <c r="H161" s="78">
        <v>3</v>
      </c>
      <c r="I161" s="111" t="s">
        <v>248</v>
      </c>
      <c r="J161" s="76" t="s">
        <v>276</v>
      </c>
      <c r="K161" s="178">
        <v>190538.23</v>
      </c>
      <c r="L161" s="178">
        <v>257164.71</v>
      </c>
      <c r="M161" s="178">
        <v>264351.81</v>
      </c>
      <c r="N161" s="178">
        <v>269793.8</v>
      </c>
      <c r="O161" s="178">
        <v>269793.8</v>
      </c>
      <c r="P161" s="178">
        <v>269793.8</v>
      </c>
      <c r="Q161" s="178">
        <f t="shared" ref="Q161:Q163" si="36">SUM(K161:P161)</f>
        <v>1521436.1500000001</v>
      </c>
      <c r="R161" s="448"/>
    </row>
    <row r="162" spans="1:19" s="48" customFormat="1" x14ac:dyDescent="0.25">
      <c r="A162" s="179"/>
      <c r="B162" s="179"/>
      <c r="C162" s="460"/>
      <c r="D162" s="290" t="s">
        <v>56</v>
      </c>
      <c r="E162" s="73" t="s">
        <v>74</v>
      </c>
      <c r="F162" s="111" t="s">
        <v>26</v>
      </c>
      <c r="G162" s="318" t="s">
        <v>77</v>
      </c>
      <c r="H162" s="110">
        <v>3</v>
      </c>
      <c r="I162" s="316" t="s">
        <v>279</v>
      </c>
      <c r="J162" s="73" t="s">
        <v>276</v>
      </c>
      <c r="K162" s="317">
        <v>58272.41</v>
      </c>
      <c r="L162" s="186">
        <v>84411.69</v>
      </c>
      <c r="M162" s="186">
        <v>80347.22</v>
      </c>
      <c r="N162" s="186">
        <v>78082.8</v>
      </c>
      <c r="O162" s="186">
        <v>78082.8</v>
      </c>
      <c r="P162" s="186">
        <v>78082.8</v>
      </c>
      <c r="Q162" s="186">
        <f t="shared" si="36"/>
        <v>457279.72</v>
      </c>
      <c r="R162" s="448"/>
    </row>
    <row r="163" spans="1:19" ht="24" customHeight="1" x14ac:dyDescent="0.25">
      <c r="A163" s="179"/>
      <c r="B163" s="458"/>
      <c r="C163" s="460"/>
      <c r="D163" s="288" t="s">
        <v>56</v>
      </c>
      <c r="E163" s="76" t="s">
        <v>74</v>
      </c>
      <c r="F163" s="83" t="s">
        <v>26</v>
      </c>
      <c r="G163" s="84" t="s">
        <v>77</v>
      </c>
      <c r="H163" s="78">
        <v>3</v>
      </c>
      <c r="I163" s="111" t="s">
        <v>248</v>
      </c>
      <c r="J163" s="76" t="s">
        <v>126</v>
      </c>
      <c r="K163" s="178">
        <f>7200-3200</f>
        <v>4000</v>
      </c>
      <c r="L163" s="178">
        <v>2484.59</v>
      </c>
      <c r="M163" s="178">
        <f>780+23583+574.6</f>
        <v>24937.599999999999</v>
      </c>
      <c r="N163" s="178">
        <v>780</v>
      </c>
      <c r="O163" s="178">
        <v>780</v>
      </c>
      <c r="P163" s="178">
        <v>780</v>
      </c>
      <c r="Q163" s="178">
        <f t="shared" si="36"/>
        <v>33762.19</v>
      </c>
      <c r="R163" s="448"/>
      <c r="S163" s="9" t="s">
        <v>189</v>
      </c>
    </row>
    <row r="164" spans="1:19" x14ac:dyDescent="0.25">
      <c r="A164" s="179"/>
      <c r="B164" s="458"/>
      <c r="C164" s="460"/>
      <c r="D164" s="288" t="s">
        <v>56</v>
      </c>
      <c r="E164" s="76" t="s">
        <v>74</v>
      </c>
      <c r="F164" s="83" t="s">
        <v>26</v>
      </c>
      <c r="G164" s="84" t="s">
        <v>77</v>
      </c>
      <c r="H164" s="78">
        <v>3</v>
      </c>
      <c r="I164" s="111" t="s">
        <v>248</v>
      </c>
      <c r="J164" s="83" t="s">
        <v>28</v>
      </c>
      <c r="K164" s="178">
        <f>290346.4+3200-58031.49</f>
        <v>235514.91000000003</v>
      </c>
      <c r="L164" s="178">
        <f>354416.44</f>
        <v>354416.44</v>
      </c>
      <c r="M164" s="178">
        <f>347279.03-23583-574.6-20000</f>
        <v>303121.43000000005</v>
      </c>
      <c r="N164" s="178">
        <v>336539.03</v>
      </c>
      <c r="O164" s="178">
        <v>336539.03</v>
      </c>
      <c r="P164" s="178">
        <v>336539.03</v>
      </c>
      <c r="Q164" s="178">
        <f>SUM(K164:P164)</f>
        <v>1902669.87</v>
      </c>
      <c r="R164" s="449"/>
    </row>
    <row r="165" spans="1:19" x14ac:dyDescent="0.25">
      <c r="A165" s="179"/>
      <c r="B165" s="458"/>
      <c r="C165" s="460"/>
      <c r="D165" s="288" t="s">
        <v>56</v>
      </c>
      <c r="E165" s="76" t="s">
        <v>74</v>
      </c>
      <c r="F165" s="83" t="s">
        <v>26</v>
      </c>
      <c r="G165" s="84" t="s">
        <v>77</v>
      </c>
      <c r="H165" s="78">
        <v>3</v>
      </c>
      <c r="I165" s="111" t="s">
        <v>248</v>
      </c>
      <c r="J165" s="83" t="s">
        <v>127</v>
      </c>
      <c r="K165" s="178">
        <v>4500</v>
      </c>
      <c r="L165" s="178">
        <f>878.56+1000</f>
        <v>1878.56</v>
      </c>
      <c r="M165" s="178">
        <v>1000</v>
      </c>
      <c r="N165" s="9"/>
      <c r="O165" s="9"/>
      <c r="P165" s="9"/>
      <c r="Q165" s="178">
        <f>SUM(K165:P165)</f>
        <v>7378.5599999999995</v>
      </c>
      <c r="R165" s="130"/>
    </row>
    <row r="166" spans="1:19" s="56" customFormat="1" x14ac:dyDescent="0.25">
      <c r="A166" s="398"/>
      <c r="B166" s="458"/>
      <c r="C166" s="460"/>
      <c r="D166" s="397" t="s">
        <v>56</v>
      </c>
      <c r="E166" s="76" t="s">
        <v>74</v>
      </c>
      <c r="F166" s="83" t="s">
        <v>26</v>
      </c>
      <c r="G166" s="84" t="s">
        <v>77</v>
      </c>
      <c r="H166" s="78">
        <v>3</v>
      </c>
      <c r="I166" s="111" t="s">
        <v>248</v>
      </c>
      <c r="J166" s="83" t="s">
        <v>312</v>
      </c>
      <c r="K166" s="178"/>
      <c r="L166" s="178"/>
      <c r="M166" s="178"/>
      <c r="N166" s="284">
        <v>878.56</v>
      </c>
      <c r="O166" s="284">
        <v>878.56</v>
      </c>
      <c r="P166" s="284">
        <v>878.56</v>
      </c>
      <c r="Q166" s="178">
        <f>SUM(K166:P166)</f>
        <v>2635.68</v>
      </c>
      <c r="R166" s="130"/>
    </row>
    <row r="167" spans="1:19" x14ac:dyDescent="0.25">
      <c r="A167" s="184"/>
      <c r="B167" s="458"/>
      <c r="C167" s="460"/>
      <c r="D167" s="288" t="s">
        <v>56</v>
      </c>
      <c r="E167" s="76" t="s">
        <v>74</v>
      </c>
      <c r="F167" s="83" t="s">
        <v>26</v>
      </c>
      <c r="G167" s="84" t="s">
        <v>77</v>
      </c>
      <c r="H167" s="78">
        <v>3</v>
      </c>
      <c r="I167" s="83" t="s">
        <v>274</v>
      </c>
      <c r="J167" s="76" t="s">
        <v>126</v>
      </c>
      <c r="K167" s="178"/>
      <c r="L167" s="178">
        <v>10416</v>
      </c>
      <c r="M167" s="178">
        <v>0</v>
      </c>
      <c r="N167" s="178">
        <v>0</v>
      </c>
      <c r="O167" s="178">
        <v>0</v>
      </c>
      <c r="P167" s="178">
        <v>0</v>
      </c>
      <c r="Q167" s="178">
        <f t="shared" ref="Q167:Q169" si="37">SUM(K167:O167)</f>
        <v>10416</v>
      </c>
      <c r="R167" s="130"/>
    </row>
    <row r="168" spans="1:19" s="56" customFormat="1" x14ac:dyDescent="0.25">
      <c r="A168" s="184"/>
      <c r="B168" s="458"/>
      <c r="C168" s="460"/>
      <c r="D168" s="373" t="s">
        <v>56</v>
      </c>
      <c r="E168" s="76" t="s">
        <v>74</v>
      </c>
      <c r="F168" s="83" t="s">
        <v>26</v>
      </c>
      <c r="G168" s="84" t="s">
        <v>77</v>
      </c>
      <c r="H168" s="78">
        <v>3</v>
      </c>
      <c r="I168" s="83" t="s">
        <v>297</v>
      </c>
      <c r="J168" s="76" t="s">
        <v>126</v>
      </c>
      <c r="K168" s="178"/>
      <c r="L168" s="178"/>
      <c r="M168" s="178">
        <v>7500</v>
      </c>
      <c r="N168" s="178"/>
      <c r="O168" s="178"/>
      <c r="P168" s="178"/>
      <c r="Q168" s="178">
        <f t="shared" si="37"/>
        <v>7500</v>
      </c>
      <c r="R168" s="130"/>
    </row>
    <row r="169" spans="1:19" s="56" customFormat="1" x14ac:dyDescent="0.25">
      <c r="A169" s="184"/>
      <c r="B169" s="459"/>
      <c r="C169" s="454"/>
      <c r="D169" s="373" t="s">
        <v>56</v>
      </c>
      <c r="E169" s="76" t="s">
        <v>74</v>
      </c>
      <c r="F169" s="83" t="s">
        <v>26</v>
      </c>
      <c r="G169" s="84" t="s">
        <v>77</v>
      </c>
      <c r="H169" s="78">
        <v>3</v>
      </c>
      <c r="I169" s="83" t="s">
        <v>297</v>
      </c>
      <c r="J169" s="76" t="s">
        <v>276</v>
      </c>
      <c r="K169" s="178"/>
      <c r="L169" s="178"/>
      <c r="M169" s="178">
        <v>2265</v>
      </c>
      <c r="N169" s="178"/>
      <c r="O169" s="178"/>
      <c r="P169" s="178"/>
      <c r="Q169" s="178">
        <f t="shared" si="37"/>
        <v>2265</v>
      </c>
      <c r="R169" s="130"/>
    </row>
    <row r="170" spans="1:19" ht="15.75" customHeight="1" x14ac:dyDescent="0.25">
      <c r="A170" s="73"/>
      <c r="B170" s="73"/>
      <c r="C170" s="90" t="s">
        <v>44</v>
      </c>
      <c r="D170" s="91"/>
      <c r="E170" s="90"/>
      <c r="F170" s="90"/>
      <c r="G170" s="74"/>
      <c r="H170" s="110"/>
      <c r="I170" s="185"/>
      <c r="J170" s="90"/>
      <c r="K170" s="186">
        <f>SUM(K159:K167)</f>
        <v>1316701.8399999999</v>
      </c>
      <c r="L170" s="186">
        <f>SUM(L159:L167)</f>
        <v>1841919.64</v>
      </c>
      <c r="M170" s="186">
        <f>SUM(M159:M169)</f>
        <v>1834548.85</v>
      </c>
      <c r="N170" s="186">
        <f>SUM(N159:N167)</f>
        <v>1837983.4600000002</v>
      </c>
      <c r="O170" s="186">
        <f>SUM(O159:O167)</f>
        <v>1837983.4600000002</v>
      </c>
      <c r="P170" s="186">
        <f>SUM(P159:P167)</f>
        <v>1837983.4600000002</v>
      </c>
      <c r="Q170" s="178">
        <f>SUM(K170:P170)</f>
        <v>10507120.710000001</v>
      </c>
      <c r="R170" s="91"/>
    </row>
    <row r="171" spans="1:19" x14ac:dyDescent="0.25">
      <c r="A171" s="58"/>
      <c r="B171" s="58"/>
      <c r="C171" s="132"/>
      <c r="D171" s="132"/>
      <c r="E171" s="132"/>
      <c r="F171" s="132"/>
      <c r="G171" s="132"/>
      <c r="H171" s="132"/>
      <c r="I171" s="132"/>
      <c r="J171" s="132"/>
      <c r="K171" s="132"/>
      <c r="L171" s="132"/>
      <c r="M171" s="132"/>
      <c r="N171" s="132"/>
      <c r="O171" s="132"/>
      <c r="P171" s="132"/>
      <c r="Q171" s="132"/>
      <c r="R171" s="59"/>
    </row>
  </sheetData>
  <mergeCells count="91">
    <mergeCell ref="A41:A42"/>
    <mergeCell ref="B41:B42"/>
    <mergeCell ref="C41:C42"/>
    <mergeCell ref="D41:D42"/>
    <mergeCell ref="A79:A82"/>
    <mergeCell ref="A83:A85"/>
    <mergeCell ref="R76:R78"/>
    <mergeCell ref="R60:R62"/>
    <mergeCell ref="C75:Q75"/>
    <mergeCell ref="C79:C82"/>
    <mergeCell ref="B83:B85"/>
    <mergeCell ref="C83:C85"/>
    <mergeCell ref="A131:A132"/>
    <mergeCell ref="C131:C132"/>
    <mergeCell ref="R131:R132"/>
    <mergeCell ref="R88:R96"/>
    <mergeCell ref="R129:R130"/>
    <mergeCell ref="A104:A109"/>
    <mergeCell ref="B104:B109"/>
    <mergeCell ref="A97:A98"/>
    <mergeCell ref="C125:Q125"/>
    <mergeCell ref="C128:Q128"/>
    <mergeCell ref="A129:A130"/>
    <mergeCell ref="C129:C130"/>
    <mergeCell ref="O97:O98"/>
    <mergeCell ref="P97:P98"/>
    <mergeCell ref="Q97:Q98"/>
    <mergeCell ref="C18:C23"/>
    <mergeCell ref="C110:Q110"/>
    <mergeCell ref="C97:C98"/>
    <mergeCell ref="C104:C109"/>
    <mergeCell ref="C58:Q5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M97:M98"/>
    <mergeCell ref="N97:N98"/>
    <mergeCell ref="A7:A11"/>
    <mergeCell ref="C7:C11"/>
    <mergeCell ref="A12:A16"/>
    <mergeCell ref="B12:B16"/>
    <mergeCell ref="A88:A96"/>
    <mergeCell ref="A76:A78"/>
    <mergeCell ref="C76:C78"/>
    <mergeCell ref="C87:Q87"/>
    <mergeCell ref="C72:C73"/>
    <mergeCell ref="C88:C96"/>
    <mergeCell ref="A53:A56"/>
    <mergeCell ref="C53:C56"/>
    <mergeCell ref="C12:C16"/>
    <mergeCell ref="A46:A48"/>
    <mergeCell ref="B7:B11"/>
    <mergeCell ref="C17:Q17"/>
    <mergeCell ref="R159:R164"/>
    <mergeCell ref="A133:A134"/>
    <mergeCell ref="B133:B134"/>
    <mergeCell ref="C133:C134"/>
    <mergeCell ref="D133:D134"/>
    <mergeCell ref="R138:R139"/>
    <mergeCell ref="C137:Q137"/>
    <mergeCell ref="A138:A139"/>
    <mergeCell ref="C138:C139"/>
    <mergeCell ref="D138:D139"/>
    <mergeCell ref="B142:B146"/>
    <mergeCell ref="A142:A146"/>
    <mergeCell ref="C158:Q158"/>
    <mergeCell ref="C142:C147"/>
    <mergeCell ref="B163:B169"/>
    <mergeCell ref="C159:C169"/>
    <mergeCell ref="R46:R48"/>
    <mergeCell ref="R18:R23"/>
    <mergeCell ref="C24:C25"/>
    <mergeCell ref="C45:Q45"/>
    <mergeCell ref="N1:R1"/>
    <mergeCell ref="F2:H2"/>
    <mergeCell ref="A3:Q3"/>
    <mergeCell ref="K5:Q5"/>
    <mergeCell ref="N2:R2"/>
    <mergeCell ref="R5:R6"/>
    <mergeCell ref="A5:A6"/>
    <mergeCell ref="C5:C6"/>
    <mergeCell ref="D5:D6"/>
    <mergeCell ref="E5:J5"/>
    <mergeCell ref="B5:B6"/>
    <mergeCell ref="G6:I6"/>
  </mergeCells>
  <pageMargins left="0" right="3.937007874015748E-2" top="0.31496062992125984" bottom="0.31496062992125984" header="0.59055118110236227" footer="0.59055118110236227"/>
  <pageSetup paperSize="9" scale="50" fitToWidth="2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W31"/>
  <sheetViews>
    <sheetView view="pageBreakPreview" zoomScale="70" zoomScaleNormal="85" zoomScaleSheetLayoutView="70" workbookViewId="0">
      <selection activeCell="L1" sqref="L1:P1"/>
    </sheetView>
  </sheetViews>
  <sheetFormatPr defaultColWidth="9.109375" defaultRowHeight="15.6" outlineLevelCol="1" x14ac:dyDescent="0.3"/>
  <cols>
    <col min="1" max="1" width="18.44140625" style="4" customWidth="1"/>
    <col min="2" max="2" width="23.109375" style="4" customWidth="1"/>
    <col min="3" max="3" width="22.33203125" style="4" customWidth="1"/>
    <col min="4" max="4" width="0.109375" style="4" hidden="1" customWidth="1"/>
    <col min="5" max="5" width="7.109375" style="4" hidden="1" customWidth="1"/>
    <col min="6" max="6" width="3.33203125" style="4" hidden="1" customWidth="1"/>
    <col min="7" max="7" width="3" style="4" hidden="1" customWidth="1"/>
    <col min="8" max="8" width="5.88671875" style="4" hidden="1" customWidth="1"/>
    <col min="9" max="9" width="7.5546875" style="4" hidden="1" customWidth="1"/>
    <col min="10" max="10" width="18.33203125" style="4" bestFit="1" customWidth="1"/>
    <col min="11" max="11" width="18.109375" style="4" customWidth="1"/>
    <col min="12" max="13" width="18.44140625" style="4" customWidth="1"/>
    <col min="14" max="14" width="18.44140625" style="41" customWidth="1"/>
    <col min="15" max="15" width="18.44140625" style="57" customWidth="1"/>
    <col min="16" max="16" width="19.33203125" style="4" customWidth="1"/>
    <col min="17" max="17" width="8.88671875" style="4" customWidth="1"/>
    <col min="18" max="18" width="16.33203125" style="4" hidden="1" customWidth="1" outlineLevel="1"/>
    <col min="19" max="20" width="16.109375" style="4" hidden="1" customWidth="1" outlineLevel="1"/>
    <col min="21" max="21" width="0" style="4" hidden="1" customWidth="1" outlineLevel="1"/>
    <col min="22" max="22" width="9.109375" style="4" collapsed="1"/>
    <col min="23" max="23" width="13.88671875" style="4" bestFit="1" customWidth="1"/>
    <col min="24" max="16384" width="9.109375" style="4"/>
  </cols>
  <sheetData>
    <row r="1" spans="1:23" ht="58.5" customHeight="1" x14ac:dyDescent="0.3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490" t="s">
        <v>323</v>
      </c>
      <c r="M1" s="490"/>
      <c r="N1" s="490"/>
      <c r="O1" s="490"/>
      <c r="P1" s="490"/>
    </row>
    <row r="2" spans="1:23" ht="82.5" customHeight="1" x14ac:dyDescent="0.3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509" t="s">
        <v>293</v>
      </c>
      <c r="M2" s="509"/>
      <c r="N2" s="509"/>
      <c r="O2" s="509"/>
      <c r="P2" s="509"/>
    </row>
    <row r="3" spans="1:23" ht="51" customHeight="1" x14ac:dyDescent="0.3">
      <c r="A3" s="512" t="s">
        <v>203</v>
      </c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512"/>
      <c r="M3" s="512"/>
      <c r="N3" s="512"/>
      <c r="O3" s="512"/>
      <c r="P3" s="512"/>
    </row>
    <row r="4" spans="1:23" x14ac:dyDescent="0.3">
      <c r="A4" s="187"/>
      <c r="B4" s="187"/>
      <c r="C4" s="187"/>
      <c r="D4" s="187"/>
      <c r="E4" s="187"/>
      <c r="F4" s="188">
        <v>8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R4" s="4">
        <f>3273967.4+28000</f>
        <v>3301967.4</v>
      </c>
      <c r="S4" s="4">
        <v>3307058.1</v>
      </c>
      <c r="T4" s="4">
        <v>2895283.8</v>
      </c>
    </row>
    <row r="5" spans="1:23" ht="34.5" customHeight="1" x14ac:dyDescent="0.3">
      <c r="A5" s="513" t="s">
        <v>200</v>
      </c>
      <c r="B5" s="513" t="s">
        <v>204</v>
      </c>
      <c r="C5" s="513" t="s">
        <v>282</v>
      </c>
      <c r="D5" s="513" t="s">
        <v>46</v>
      </c>
      <c r="E5" s="513"/>
      <c r="F5" s="513"/>
      <c r="G5" s="513"/>
      <c r="H5" s="513"/>
      <c r="I5" s="513"/>
      <c r="J5" s="513" t="s">
        <v>201</v>
      </c>
      <c r="K5" s="513"/>
      <c r="L5" s="513"/>
      <c r="M5" s="513"/>
      <c r="N5" s="513"/>
      <c r="O5" s="513"/>
      <c r="P5" s="513"/>
      <c r="R5" s="5">
        <f>J7</f>
        <v>65340733.626420006</v>
      </c>
      <c r="S5" s="5">
        <f>K7</f>
        <v>59975697.280000001</v>
      </c>
      <c r="T5" s="5">
        <f>L7</f>
        <v>59147703.499999993</v>
      </c>
    </row>
    <row r="6" spans="1:23" ht="62.25" customHeight="1" x14ac:dyDescent="0.3">
      <c r="A6" s="513"/>
      <c r="B6" s="513"/>
      <c r="C6" s="513"/>
      <c r="D6" s="189" t="s">
        <v>6</v>
      </c>
      <c r="E6" s="189" t="s">
        <v>7</v>
      </c>
      <c r="F6" s="492" t="s">
        <v>8</v>
      </c>
      <c r="G6" s="493"/>
      <c r="H6" s="494"/>
      <c r="I6" s="189" t="s">
        <v>9</v>
      </c>
      <c r="J6" s="189" t="s">
        <v>10</v>
      </c>
      <c r="K6" s="189" t="s">
        <v>11</v>
      </c>
      <c r="L6" s="189" t="s">
        <v>12</v>
      </c>
      <c r="M6" s="189" t="s">
        <v>159</v>
      </c>
      <c r="N6" s="189" t="s">
        <v>241</v>
      </c>
      <c r="O6" s="189" t="s">
        <v>289</v>
      </c>
      <c r="P6" s="189" t="s">
        <v>290</v>
      </c>
      <c r="R6" s="5">
        <f>R4-R5</f>
        <v>-62038766.226420008</v>
      </c>
      <c r="S6" s="5">
        <f>S4-S5</f>
        <v>-56668639.18</v>
      </c>
      <c r="T6" s="5">
        <f>T4-T5</f>
        <v>-56252419.699999996</v>
      </c>
    </row>
    <row r="7" spans="1:23" ht="46.8" x14ac:dyDescent="0.3">
      <c r="A7" s="501" t="s">
        <v>76</v>
      </c>
      <c r="B7" s="501" t="s">
        <v>177</v>
      </c>
      <c r="C7" s="298" t="s">
        <v>47</v>
      </c>
      <c r="D7" s="299" t="s">
        <v>48</v>
      </c>
      <c r="E7" s="299" t="s">
        <v>48</v>
      </c>
      <c r="F7" s="503" t="s">
        <v>48</v>
      </c>
      <c r="G7" s="504"/>
      <c r="H7" s="505"/>
      <c r="I7" s="299" t="s">
        <v>48</v>
      </c>
      <c r="J7" s="301">
        <f>J10+J9+J8</f>
        <v>65340733.626420006</v>
      </c>
      <c r="K7" s="301">
        <f>K10+K9+K8</f>
        <v>59975697.280000001</v>
      </c>
      <c r="L7" s="301">
        <f>L10+L9+L8</f>
        <v>59147703.499999993</v>
      </c>
      <c r="M7" s="319">
        <f>M10+M9+M8</f>
        <v>62970823.950000003</v>
      </c>
      <c r="N7" s="301">
        <f t="shared" ref="N7:O7" si="0">N10+N9+N8</f>
        <v>56661609.940000005</v>
      </c>
      <c r="O7" s="301">
        <f t="shared" si="0"/>
        <v>56661609.940000005</v>
      </c>
      <c r="P7" s="300">
        <f>SUM(J7:O7)</f>
        <v>360758178.23641998</v>
      </c>
      <c r="W7" s="5"/>
    </row>
    <row r="8" spans="1:23" ht="34.5" customHeight="1" x14ac:dyDescent="0.3">
      <c r="A8" s="501"/>
      <c r="B8" s="501"/>
      <c r="C8" s="69" t="s">
        <v>190</v>
      </c>
      <c r="D8" s="192" t="s">
        <v>74</v>
      </c>
      <c r="E8" s="189" t="s">
        <v>48</v>
      </c>
      <c r="F8" s="492" t="s">
        <v>48</v>
      </c>
      <c r="G8" s="493"/>
      <c r="H8" s="494"/>
      <c r="I8" s="189" t="s">
        <v>48</v>
      </c>
      <c r="J8" s="191">
        <v>6181600</v>
      </c>
      <c r="K8" s="191">
        <v>3000</v>
      </c>
      <c r="L8" s="191">
        <f>L13+L18+L23</f>
        <v>37560</v>
      </c>
      <c r="M8" s="96">
        <f>M13+M18</f>
        <v>2114580</v>
      </c>
      <c r="N8" s="191">
        <v>0</v>
      </c>
      <c r="O8" s="191"/>
      <c r="P8" s="104">
        <f>SUM(J8:N8)</f>
        <v>8336740</v>
      </c>
      <c r="W8" s="5"/>
    </row>
    <row r="9" spans="1:23" ht="30" x14ac:dyDescent="0.3">
      <c r="A9" s="501"/>
      <c r="B9" s="501"/>
      <c r="C9" s="69" t="s">
        <v>191</v>
      </c>
      <c r="D9" s="192"/>
      <c r="E9" s="189" t="s">
        <v>48</v>
      </c>
      <c r="F9" s="492" t="s">
        <v>48</v>
      </c>
      <c r="G9" s="493"/>
      <c r="H9" s="494"/>
      <c r="I9" s="189" t="s">
        <v>48</v>
      </c>
      <c r="J9" s="191">
        <f>J14++J19+J24</f>
        <v>4022906.0900000003</v>
      </c>
      <c r="K9" s="191">
        <f>K14+K24+K19</f>
        <v>3072008.16</v>
      </c>
      <c r="L9" s="191">
        <f>L14+L19+L24</f>
        <v>2290892.2999999998</v>
      </c>
      <c r="M9" s="96">
        <f>M14+M19+M24</f>
        <v>748020</v>
      </c>
      <c r="N9" s="191">
        <f>N16++N19+N24</f>
        <v>0</v>
      </c>
      <c r="O9" s="191"/>
      <c r="P9" s="104">
        <f>SUM(J9:N9)</f>
        <v>10133826.550000001</v>
      </c>
      <c r="W9" s="5"/>
    </row>
    <row r="10" spans="1:23" ht="40.5" customHeight="1" x14ac:dyDescent="0.3">
      <c r="A10" s="495"/>
      <c r="B10" s="495"/>
      <c r="C10" s="69" t="s">
        <v>192</v>
      </c>
      <c r="D10" s="192"/>
      <c r="E10" s="189" t="s">
        <v>48</v>
      </c>
      <c r="F10" s="492" t="s">
        <v>48</v>
      </c>
      <c r="G10" s="493"/>
      <c r="H10" s="494"/>
      <c r="I10" s="189" t="s">
        <v>48</v>
      </c>
      <c r="J10" s="191">
        <f>J15+J20+J25</f>
        <v>55136227.536420003</v>
      </c>
      <c r="K10" s="191">
        <f>K15+K20+K25</f>
        <v>56900689.119999997</v>
      </c>
      <c r="L10" s="191">
        <f>L15+L20+L25</f>
        <v>56819251.199999996</v>
      </c>
      <c r="M10" s="191">
        <f>M15+M20+M25</f>
        <v>60108223.950000003</v>
      </c>
      <c r="N10" s="191">
        <f>N15+N20+N25</f>
        <v>56661609.940000005</v>
      </c>
      <c r="O10" s="191">
        <f>O15+O20+O25</f>
        <v>56661609.940000005</v>
      </c>
      <c r="P10" s="104">
        <f>SUM(J10:O10)</f>
        <v>342287611.68641996</v>
      </c>
      <c r="R10" s="5">
        <v>2809386.2</v>
      </c>
      <c r="S10" s="5">
        <v>2813055.3</v>
      </c>
      <c r="T10" s="5">
        <v>2810976</v>
      </c>
    </row>
    <row r="11" spans="1:23" ht="17.25" hidden="1" customHeight="1" x14ac:dyDescent="0.3">
      <c r="A11" s="502"/>
      <c r="B11" s="502"/>
      <c r="C11" s="190"/>
      <c r="D11" s="192"/>
      <c r="E11" s="189"/>
      <c r="F11" s="492"/>
      <c r="G11" s="493"/>
      <c r="H11" s="494"/>
      <c r="I11" s="189"/>
      <c r="J11" s="104"/>
      <c r="K11" s="104"/>
      <c r="L11" s="104"/>
      <c r="M11" s="96"/>
      <c r="N11" s="104"/>
      <c r="O11" s="104"/>
      <c r="P11" s="104">
        <f t="shared" ref="P11:P24" si="1">SUM(J11:N11)</f>
        <v>0</v>
      </c>
      <c r="R11" s="5"/>
      <c r="S11" s="5"/>
      <c r="T11" s="5"/>
    </row>
    <row r="12" spans="1:23" ht="46.8" x14ac:dyDescent="0.3">
      <c r="A12" s="495" t="s">
        <v>49</v>
      </c>
      <c r="B12" s="514" t="s">
        <v>144</v>
      </c>
      <c r="C12" s="298" t="s">
        <v>50</v>
      </c>
      <c r="D12" s="299"/>
      <c r="E12" s="299" t="s">
        <v>48</v>
      </c>
      <c r="F12" s="503" t="s">
        <v>48</v>
      </c>
      <c r="G12" s="504"/>
      <c r="H12" s="505"/>
      <c r="I12" s="299" t="s">
        <v>48</v>
      </c>
      <c r="J12" s="300">
        <f>J15+J14</f>
        <v>9957712.4564199988</v>
      </c>
      <c r="K12" s="300">
        <f>K15+K13+K14</f>
        <v>10484619.77</v>
      </c>
      <c r="L12" s="300">
        <f>L15+L13+L14</f>
        <v>10359883.650000002</v>
      </c>
      <c r="M12" s="300">
        <f>M15+M13+M14</f>
        <v>11001441.66</v>
      </c>
      <c r="N12" s="300">
        <f>N15+N13</f>
        <v>10486041.66</v>
      </c>
      <c r="O12" s="300">
        <f>O15+O13</f>
        <v>10486041.66</v>
      </c>
      <c r="P12" s="300">
        <f>SUM(J12:O12)</f>
        <v>62775740.856419995</v>
      </c>
    </row>
    <row r="13" spans="1:23" ht="51" customHeight="1" x14ac:dyDescent="0.3">
      <c r="A13" s="495"/>
      <c r="B13" s="514"/>
      <c r="C13" s="69" t="s">
        <v>190</v>
      </c>
      <c r="D13" s="192" t="s">
        <v>74</v>
      </c>
      <c r="E13" s="189" t="s">
        <v>48</v>
      </c>
      <c r="F13" s="492" t="s">
        <v>48</v>
      </c>
      <c r="G13" s="493"/>
      <c r="H13" s="494"/>
      <c r="I13" s="189" t="s">
        <v>48</v>
      </c>
      <c r="J13" s="191">
        <v>0</v>
      </c>
      <c r="K13" s="104">
        <f>формулы!K46</f>
        <v>3000</v>
      </c>
      <c r="L13" s="191">
        <f>2500-300</f>
        <v>2200</v>
      </c>
      <c r="M13" s="96">
        <f>'Приложение 2'!N14</f>
        <v>2100</v>
      </c>
      <c r="N13" s="191">
        <v>0</v>
      </c>
      <c r="O13" s="191"/>
      <c r="P13" s="104">
        <f t="shared" si="1"/>
        <v>7300</v>
      </c>
    </row>
    <row r="14" spans="1:23" ht="30" x14ac:dyDescent="0.3">
      <c r="A14" s="495"/>
      <c r="B14" s="514"/>
      <c r="C14" s="69" t="s">
        <v>191</v>
      </c>
      <c r="D14" s="189"/>
      <c r="E14" s="189"/>
      <c r="F14" s="193"/>
      <c r="G14" s="194"/>
      <c r="H14" s="195"/>
      <c r="I14" s="189"/>
      <c r="J14" s="104">
        <f>27800+276124-6800+17407.21</f>
        <v>314531.21000000002</v>
      </c>
      <c r="K14" s="104">
        <f>формулы!K47</f>
        <v>329979.43</v>
      </c>
      <c r="L14" s="104">
        <f>'Приложение 2'!M15</f>
        <v>121929.48000000001</v>
      </c>
      <c r="M14" s="104">
        <f>'Приложение 2'!N15</f>
        <v>513300</v>
      </c>
      <c r="N14" s="104">
        <f>'Приложение 2'!O15</f>
        <v>0</v>
      </c>
      <c r="O14" s="104">
        <f>'Приложение 2'!P15</f>
        <v>0</v>
      </c>
      <c r="P14" s="104">
        <f>SUM(J14:N14)</f>
        <v>1279740.1200000001</v>
      </c>
    </row>
    <row r="15" spans="1:23" ht="30" x14ac:dyDescent="0.3">
      <c r="A15" s="495"/>
      <c r="B15" s="514"/>
      <c r="C15" s="69" t="s">
        <v>192</v>
      </c>
      <c r="D15" s="192"/>
      <c r="E15" s="189"/>
      <c r="F15" s="492"/>
      <c r="G15" s="493"/>
      <c r="H15" s="494"/>
      <c r="I15" s="189"/>
      <c r="J15" s="104">
        <f>формулы!J48</f>
        <v>9643181.2464199979</v>
      </c>
      <c r="K15" s="104">
        <f>формулы!K48</f>
        <v>10151640.34</v>
      </c>
      <c r="L15" s="104">
        <f>формулы!L48</f>
        <v>10235754.170000002</v>
      </c>
      <c r="M15" s="96">
        <f>'Приложение 2'!N16</f>
        <v>10486041.66</v>
      </c>
      <c r="N15" s="104">
        <f>формулы!N48</f>
        <v>10486041.66</v>
      </c>
      <c r="O15" s="104">
        <f>формулы!O48</f>
        <v>10486041.66</v>
      </c>
      <c r="P15" s="104">
        <f>SUM(J15:O16)</f>
        <v>61488700.736419991</v>
      </c>
    </row>
    <row r="16" spans="1:23" hidden="1" x14ac:dyDescent="0.3">
      <c r="A16" s="495"/>
      <c r="B16" s="514"/>
      <c r="C16" s="190"/>
      <c r="D16" s="103"/>
      <c r="E16" s="189"/>
      <c r="F16" s="492"/>
      <c r="G16" s="493"/>
      <c r="H16" s="494"/>
      <c r="I16" s="189"/>
      <c r="J16" s="187"/>
      <c r="K16" s="104"/>
      <c r="L16" s="104"/>
      <c r="M16" s="96"/>
      <c r="N16" s="104"/>
      <c r="O16" s="104"/>
      <c r="P16" s="104">
        <f t="shared" si="1"/>
        <v>0</v>
      </c>
    </row>
    <row r="17" spans="1:16" ht="31.5" customHeight="1" x14ac:dyDescent="0.3">
      <c r="A17" s="498" t="s">
        <v>51</v>
      </c>
      <c r="B17" s="506" t="s">
        <v>145</v>
      </c>
      <c r="C17" s="349" t="s">
        <v>52</v>
      </c>
      <c r="D17" s="192"/>
      <c r="E17" s="348" t="s">
        <v>48</v>
      </c>
      <c r="F17" s="492" t="s">
        <v>48</v>
      </c>
      <c r="G17" s="493"/>
      <c r="H17" s="494"/>
      <c r="I17" s="348" t="s">
        <v>48</v>
      </c>
      <c r="J17" s="104">
        <f t="shared" ref="J17:O17" si="2">J20+J19+J18</f>
        <v>41738870.470000006</v>
      </c>
      <c r="K17" s="104">
        <f t="shared" si="2"/>
        <v>34136465.450000003</v>
      </c>
      <c r="L17" s="104">
        <f t="shared" si="2"/>
        <v>35072850.270000003</v>
      </c>
      <c r="M17" s="96">
        <f t="shared" si="2"/>
        <v>37053576.650000006</v>
      </c>
      <c r="N17" s="104">
        <f>N20+N19+N18</f>
        <v>33718876.650000006</v>
      </c>
      <c r="O17" s="104">
        <f t="shared" si="2"/>
        <v>33718876.650000006</v>
      </c>
      <c r="P17" s="104">
        <f>SUM(J17:O17)</f>
        <v>215439516.14000005</v>
      </c>
    </row>
    <row r="18" spans="1:16" ht="36.75" customHeight="1" x14ac:dyDescent="0.3">
      <c r="A18" s="499"/>
      <c r="B18" s="507"/>
      <c r="C18" s="69" t="s">
        <v>190</v>
      </c>
      <c r="D18" s="192"/>
      <c r="E18" s="348" t="s">
        <v>48</v>
      </c>
      <c r="F18" s="492" t="s">
        <v>48</v>
      </c>
      <c r="G18" s="493"/>
      <c r="H18" s="494"/>
      <c r="I18" s="348" t="s">
        <v>48</v>
      </c>
      <c r="J18" s="104">
        <v>6181600</v>
      </c>
      <c r="K18" s="104">
        <v>0</v>
      </c>
      <c r="L18" s="104">
        <v>0</v>
      </c>
      <c r="M18" s="96">
        <f>'Приложение 2'!N55</f>
        <v>2112480</v>
      </c>
      <c r="N18" s="104">
        <v>0</v>
      </c>
      <c r="O18" s="104"/>
      <c r="P18" s="104">
        <f t="shared" si="1"/>
        <v>8294080</v>
      </c>
    </row>
    <row r="19" spans="1:16" ht="30" x14ac:dyDescent="0.3">
      <c r="A19" s="499"/>
      <c r="B19" s="507"/>
      <c r="C19" s="69" t="s">
        <v>191</v>
      </c>
      <c r="D19" s="343"/>
      <c r="E19" s="348" t="s">
        <v>48</v>
      </c>
      <c r="F19" s="492" t="s">
        <v>48</v>
      </c>
      <c r="G19" s="493"/>
      <c r="H19" s="494"/>
      <c r="I19" s="348" t="s">
        <v>48</v>
      </c>
      <c r="J19" s="104">
        <f>556913.66+125691.96+1860000+197569.99</f>
        <v>2740175.6100000003</v>
      </c>
      <c r="K19" s="104">
        <f>'Приложение 3'!K56</f>
        <v>1479370.68</v>
      </c>
      <c r="L19" s="104">
        <f>'Приложение 2'!M56</f>
        <v>1291232.52</v>
      </c>
      <c r="M19" s="96">
        <f>'Приложение 3'!M56</f>
        <v>234720</v>
      </c>
      <c r="N19" s="104">
        <f>'Приложение 3'!N56</f>
        <v>0</v>
      </c>
      <c r="O19" s="104"/>
      <c r="P19" s="104">
        <f t="shared" si="1"/>
        <v>5745498.8100000005</v>
      </c>
    </row>
    <row r="20" spans="1:16" ht="44.25" customHeight="1" x14ac:dyDescent="0.3">
      <c r="A20" s="499"/>
      <c r="B20" s="507"/>
      <c r="C20" s="69" t="s">
        <v>192</v>
      </c>
      <c r="D20" s="192" t="s">
        <v>74</v>
      </c>
      <c r="E20" s="348" t="s">
        <v>48</v>
      </c>
      <c r="F20" s="492" t="s">
        <v>48</v>
      </c>
      <c r="G20" s="493"/>
      <c r="H20" s="494"/>
      <c r="I20" s="348" t="s">
        <v>48</v>
      </c>
      <c r="J20" s="104">
        <f>'Приложение 3'!J57</f>
        <v>32817094.860000007</v>
      </c>
      <c r="K20" s="104">
        <f>'Приложение 3'!K57</f>
        <v>32657094.770000003</v>
      </c>
      <c r="L20" s="104">
        <f>'Приложение 2'!M57</f>
        <v>33781617.75</v>
      </c>
      <c r="M20" s="96">
        <f>'Приложение 3'!M57</f>
        <v>34706376.650000006</v>
      </c>
      <c r="N20" s="104">
        <f>'Приложение 3'!N57</f>
        <v>33718876.650000006</v>
      </c>
      <c r="O20" s="104">
        <f>'Приложение 3'!O57</f>
        <v>33718876.650000006</v>
      </c>
      <c r="P20" s="104">
        <f>SUM(J20:O20)</f>
        <v>201399937.33000001</v>
      </c>
    </row>
    <row r="21" spans="1:16" hidden="1" x14ac:dyDescent="0.3">
      <c r="A21" s="500"/>
      <c r="B21" s="508"/>
      <c r="C21" s="349"/>
      <c r="D21" s="192"/>
      <c r="E21" s="348"/>
      <c r="F21" s="345"/>
      <c r="G21" s="346"/>
      <c r="H21" s="347"/>
      <c r="I21" s="348"/>
      <c r="J21" s="104"/>
      <c r="K21" s="104"/>
      <c r="L21" s="104"/>
      <c r="M21" s="96"/>
      <c r="N21" s="104"/>
      <c r="O21" s="104"/>
      <c r="P21" s="104">
        <f t="shared" si="1"/>
        <v>0</v>
      </c>
    </row>
    <row r="22" spans="1:16" ht="45" x14ac:dyDescent="0.3">
      <c r="A22" s="495" t="s">
        <v>53</v>
      </c>
      <c r="B22" s="496" t="s">
        <v>195</v>
      </c>
      <c r="C22" s="190" t="s">
        <v>50</v>
      </c>
      <c r="D22" s="192"/>
      <c r="E22" s="189" t="s">
        <v>48</v>
      </c>
      <c r="F22" s="492" t="s">
        <v>48</v>
      </c>
      <c r="G22" s="493"/>
      <c r="H22" s="494"/>
      <c r="I22" s="189" t="s">
        <v>48</v>
      </c>
      <c r="J22" s="191">
        <f>J25+J24</f>
        <v>13644150.699999999</v>
      </c>
      <c r="K22" s="191">
        <f>K25+K24</f>
        <v>15354612.059999999</v>
      </c>
      <c r="L22" s="191">
        <f>L25+L24+L23</f>
        <v>13714969.579999996</v>
      </c>
      <c r="M22" s="96">
        <f>M25+M24</f>
        <v>14915805.640000001</v>
      </c>
      <c r="N22" s="191">
        <f>N25+N24</f>
        <v>12456691.630000001</v>
      </c>
      <c r="O22" s="191">
        <f>O25+O24</f>
        <v>12456691.630000001</v>
      </c>
      <c r="P22" s="104">
        <f>SUM(J22:O22)</f>
        <v>82542921.239999995</v>
      </c>
    </row>
    <row r="23" spans="1:16" s="55" customFormat="1" ht="45" x14ac:dyDescent="0.3">
      <c r="A23" s="495"/>
      <c r="B23" s="496"/>
      <c r="C23" s="69" t="s">
        <v>286</v>
      </c>
      <c r="D23" s="192"/>
      <c r="E23" s="189"/>
      <c r="F23" s="193"/>
      <c r="G23" s="194"/>
      <c r="H23" s="195"/>
      <c r="I23" s="189"/>
      <c r="J23" s="191"/>
      <c r="K23" s="191"/>
      <c r="L23" s="191">
        <f>'Приложение 2'!M106</f>
        <v>35360</v>
      </c>
      <c r="M23" s="96"/>
      <c r="N23" s="191"/>
      <c r="O23" s="191"/>
      <c r="P23" s="104">
        <f t="shared" si="1"/>
        <v>35360</v>
      </c>
    </row>
    <row r="24" spans="1:16" ht="30" x14ac:dyDescent="0.3">
      <c r="A24" s="495"/>
      <c r="B24" s="496"/>
      <c r="C24" s="69" t="s">
        <v>191</v>
      </c>
      <c r="D24" s="103"/>
      <c r="E24" s="189" t="s">
        <v>48</v>
      </c>
      <c r="F24" s="492" t="s">
        <v>48</v>
      </c>
      <c r="G24" s="493"/>
      <c r="H24" s="494"/>
      <c r="I24" s="189" t="s">
        <v>48</v>
      </c>
      <c r="J24" s="191">
        <f>155500+269769.2+65974.35+400000+76955.72</f>
        <v>968199.27</v>
      </c>
      <c r="K24" s="196">
        <f>формулы2!K72</f>
        <v>1262658.05</v>
      </c>
      <c r="L24" s="196">
        <f>'Приложение 2'!M107</f>
        <v>877730.3</v>
      </c>
      <c r="M24" s="315">
        <v>0</v>
      </c>
      <c r="N24" s="197">
        <v>0</v>
      </c>
      <c r="O24" s="197"/>
      <c r="P24" s="104">
        <f t="shared" si="1"/>
        <v>3108587.62</v>
      </c>
    </row>
    <row r="25" spans="1:16" ht="45" x14ac:dyDescent="0.3">
      <c r="A25" s="495"/>
      <c r="B25" s="496"/>
      <c r="C25" s="69" t="s">
        <v>192</v>
      </c>
      <c r="D25" s="192" t="s">
        <v>74</v>
      </c>
      <c r="E25" s="189" t="s">
        <v>48</v>
      </c>
      <c r="F25" s="492" t="s">
        <v>48</v>
      </c>
      <c r="G25" s="493"/>
      <c r="H25" s="494"/>
      <c r="I25" s="189" t="s">
        <v>48</v>
      </c>
      <c r="J25" s="191">
        <f>формулы2!J73</f>
        <v>12675951.43</v>
      </c>
      <c r="K25" s="191">
        <f>формулы2!K73</f>
        <v>14091954.009999998</v>
      </c>
      <c r="L25" s="191">
        <f>формулы2!L73</f>
        <v>12801879.279999996</v>
      </c>
      <c r="M25" s="96">
        <f>'Приложение 2'!N104</f>
        <v>14915805.640000001</v>
      </c>
      <c r="N25" s="191">
        <f>формулы2!N73</f>
        <v>12456691.630000001</v>
      </c>
      <c r="O25" s="191">
        <f>формулы2!O73</f>
        <v>12456691.630000001</v>
      </c>
      <c r="P25" s="104">
        <f>SUM(J25:O25)</f>
        <v>79398973.61999999</v>
      </c>
    </row>
    <row r="26" spans="1:16" x14ac:dyDescent="0.3">
      <c r="D26" s="6"/>
      <c r="E26" s="6"/>
      <c r="F26" s="6"/>
      <c r="G26" s="6"/>
      <c r="H26" s="6"/>
      <c r="I26" s="6"/>
    </row>
    <row r="27" spans="1:16" s="7" customFormat="1" ht="51.75" customHeight="1" x14ac:dyDescent="0.25">
      <c r="A27" s="497"/>
      <c r="B27" s="497"/>
      <c r="C27" s="497"/>
      <c r="D27" s="497"/>
      <c r="L27" s="491"/>
      <c r="M27" s="491"/>
      <c r="N27" s="491"/>
      <c r="O27" s="491"/>
      <c r="P27" s="491"/>
    </row>
    <row r="28" spans="1:16" s="9" customFormat="1" hidden="1" x14ac:dyDescent="0.25">
      <c r="A28" s="510" t="s">
        <v>2</v>
      </c>
      <c r="B28" s="510"/>
      <c r="C28" s="510"/>
      <c r="D28" s="510"/>
      <c r="E28" s="511"/>
      <c r="F28" s="511"/>
      <c r="G28" s="511"/>
      <c r="H28" s="511"/>
      <c r="I28" s="511"/>
      <c r="J28" s="8"/>
      <c r="K28" s="8"/>
      <c r="N28" s="40"/>
      <c r="O28" s="56"/>
      <c r="P28" s="9" t="s">
        <v>1</v>
      </c>
    </row>
    <row r="29" spans="1:16" hidden="1" x14ac:dyDescent="0.3"/>
    <row r="30" spans="1:16" hidden="1" x14ac:dyDescent="0.3"/>
    <row r="31" spans="1:16" hidden="1" x14ac:dyDescent="0.3"/>
  </sheetData>
  <mergeCells count="37">
    <mergeCell ref="L2:P2"/>
    <mergeCell ref="F8:H8"/>
    <mergeCell ref="F9:H9"/>
    <mergeCell ref="A28:D28"/>
    <mergeCell ref="E28:I28"/>
    <mergeCell ref="A3:P3"/>
    <mergeCell ref="A5:A6"/>
    <mergeCell ref="B5:B6"/>
    <mergeCell ref="C5:C6"/>
    <mergeCell ref="D5:I5"/>
    <mergeCell ref="J5:P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P1"/>
    <mergeCell ref="L27:P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9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view="pageBreakPreview" topLeftCell="C1" zoomScale="64" zoomScaleNormal="85" zoomScaleSheetLayoutView="64" workbookViewId="0">
      <selection activeCell="O2" sqref="O2"/>
    </sheetView>
  </sheetViews>
  <sheetFormatPr defaultColWidth="9.109375" defaultRowHeight="15.6" x14ac:dyDescent="0.25"/>
  <cols>
    <col min="1" max="1" width="7.6640625" style="12" customWidth="1"/>
    <col min="2" max="2" width="27.5546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" style="9" customWidth="1"/>
    <col min="9" max="9" width="9.109375" style="9"/>
    <col min="10" max="10" width="18.44140625" style="9" customWidth="1"/>
    <col min="11" max="11" width="19.6640625" style="9" customWidth="1"/>
    <col min="12" max="12" width="19.5546875" style="9" customWidth="1"/>
    <col min="13" max="13" width="20.6640625" style="294" customWidth="1"/>
    <col min="14" max="14" width="19.5546875" style="40" customWidth="1"/>
    <col min="15" max="15" width="19.44140625" style="56" customWidth="1"/>
    <col min="16" max="16" width="23" style="9" customWidth="1"/>
    <col min="17" max="17" width="20.44140625" style="9" customWidth="1"/>
    <col min="18" max="18" width="23.5546875" style="9" customWidth="1"/>
    <col min="19" max="16384" width="9.109375" style="9"/>
  </cols>
  <sheetData>
    <row r="1" spans="1:18" ht="83.25" customHeight="1" x14ac:dyDescent="0.25">
      <c r="A1" s="320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531"/>
      <c r="Q1" s="531"/>
    </row>
    <row r="2" spans="1:18" ht="90.75" customHeight="1" x14ac:dyDescent="0.25">
      <c r="A2" s="320"/>
      <c r="B2" s="132"/>
      <c r="C2" s="132"/>
      <c r="D2" s="132"/>
      <c r="E2" s="533"/>
      <c r="F2" s="534"/>
      <c r="G2" s="534"/>
      <c r="H2" s="132"/>
      <c r="I2" s="132"/>
      <c r="J2" s="132"/>
      <c r="K2" s="132"/>
      <c r="L2" s="321"/>
      <c r="M2" s="321"/>
      <c r="N2" s="321"/>
      <c r="O2" s="321"/>
      <c r="P2" s="531"/>
      <c r="Q2" s="531"/>
      <c r="R2" s="1"/>
    </row>
    <row r="3" spans="1:18" ht="51" customHeight="1" x14ac:dyDescent="0.25">
      <c r="A3" s="532" t="s">
        <v>225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322"/>
    </row>
    <row r="4" spans="1:18" x14ac:dyDescent="0.25">
      <c r="A4" s="320"/>
      <c r="B4" s="132"/>
      <c r="C4" s="132"/>
      <c r="D4" s="132"/>
      <c r="E4" s="323"/>
      <c r="F4" s="324" t="s">
        <v>29</v>
      </c>
      <c r="G4" s="323">
        <v>1</v>
      </c>
      <c r="H4" s="323"/>
      <c r="I4" s="132"/>
      <c r="J4" s="132"/>
      <c r="K4" s="132"/>
      <c r="L4" s="132"/>
      <c r="M4" s="132"/>
      <c r="N4" s="132"/>
      <c r="O4" s="132"/>
      <c r="P4" s="132"/>
      <c r="Q4" s="132"/>
    </row>
    <row r="5" spans="1:18" ht="18" customHeight="1" x14ac:dyDescent="0.25">
      <c r="A5" s="525" t="s">
        <v>3</v>
      </c>
      <c r="B5" s="425" t="s">
        <v>281</v>
      </c>
      <c r="C5" s="526" t="s">
        <v>228</v>
      </c>
      <c r="D5" s="526" t="s">
        <v>4</v>
      </c>
      <c r="E5" s="526"/>
      <c r="F5" s="526"/>
      <c r="G5" s="526"/>
      <c r="H5" s="526"/>
      <c r="I5" s="526"/>
      <c r="J5" s="516" t="s">
        <v>224</v>
      </c>
      <c r="K5" s="517"/>
      <c r="L5" s="517"/>
      <c r="M5" s="517"/>
      <c r="N5" s="517"/>
      <c r="O5" s="517"/>
      <c r="P5" s="518"/>
      <c r="Q5" s="526" t="s">
        <v>5</v>
      </c>
    </row>
    <row r="6" spans="1:18" ht="83.25" customHeight="1" x14ac:dyDescent="0.25">
      <c r="A6" s="525"/>
      <c r="B6" s="427"/>
      <c r="C6" s="526"/>
      <c r="D6" s="68" t="s">
        <v>6</v>
      </c>
      <c r="E6" s="68" t="s">
        <v>7</v>
      </c>
      <c r="F6" s="516" t="s">
        <v>8</v>
      </c>
      <c r="G6" s="517"/>
      <c r="H6" s="518"/>
      <c r="I6" s="68" t="s">
        <v>9</v>
      </c>
      <c r="J6" s="68" t="s">
        <v>10</v>
      </c>
      <c r="K6" s="68" t="s">
        <v>11</v>
      </c>
      <c r="L6" s="68" t="s">
        <v>12</v>
      </c>
      <c r="M6" s="68" t="s">
        <v>159</v>
      </c>
      <c r="N6" s="68" t="s">
        <v>241</v>
      </c>
      <c r="O6" s="68" t="s">
        <v>289</v>
      </c>
      <c r="P6" s="68" t="s">
        <v>288</v>
      </c>
      <c r="Q6" s="526"/>
    </row>
    <row r="7" spans="1:18" ht="23.25" customHeight="1" x14ac:dyDescent="0.25">
      <c r="A7" s="103"/>
      <c r="B7" s="522" t="s">
        <v>219</v>
      </c>
      <c r="C7" s="523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  <c r="O7" s="523"/>
      <c r="P7" s="524"/>
      <c r="Q7" s="64"/>
    </row>
    <row r="8" spans="1:18" ht="33.75" customHeight="1" x14ac:dyDescent="0.25">
      <c r="A8" s="199" t="s">
        <v>13</v>
      </c>
      <c r="B8" s="519" t="s">
        <v>68</v>
      </c>
      <c r="C8" s="520"/>
      <c r="D8" s="520"/>
      <c r="E8" s="520"/>
      <c r="F8" s="520"/>
      <c r="G8" s="520"/>
      <c r="H8" s="520"/>
      <c r="I8" s="520"/>
      <c r="J8" s="520"/>
      <c r="K8" s="520"/>
      <c r="L8" s="520"/>
      <c r="M8" s="520"/>
      <c r="N8" s="520"/>
      <c r="O8" s="520"/>
      <c r="P8" s="521"/>
      <c r="Q8" s="200"/>
    </row>
    <row r="9" spans="1:18" ht="29.25" customHeight="1" x14ac:dyDescent="0.25">
      <c r="A9" s="535" t="s">
        <v>30</v>
      </c>
      <c r="B9" s="541" t="s">
        <v>119</v>
      </c>
      <c r="C9" s="98" t="s">
        <v>56</v>
      </c>
      <c r="D9" s="103" t="s">
        <v>74</v>
      </c>
      <c r="E9" s="103" t="s">
        <v>27</v>
      </c>
      <c r="F9" s="162" t="s">
        <v>77</v>
      </c>
      <c r="G9" s="163">
        <v>1</v>
      </c>
      <c r="H9" s="79" t="s">
        <v>243</v>
      </c>
      <c r="I9" s="201" t="s">
        <v>79</v>
      </c>
      <c r="J9" s="104">
        <f>4571585.14+165003.07</f>
        <v>4736588.21</v>
      </c>
      <c r="K9" s="104">
        <f>4807782.33-88</f>
        <v>4807694.33</v>
      </c>
      <c r="L9" s="81">
        <f>4922469.22</f>
        <v>4922469.22</v>
      </c>
      <c r="M9" s="96">
        <v>4953804.01</v>
      </c>
      <c r="N9" s="104">
        <f>M9</f>
        <v>4953804.01</v>
      </c>
      <c r="O9" s="104">
        <f>N9</f>
        <v>4953804.01</v>
      </c>
      <c r="P9" s="104">
        <f>SUM(J9:O9)</f>
        <v>29328163.789999992</v>
      </c>
      <c r="Q9" s="538" t="s">
        <v>82</v>
      </c>
      <c r="R9" s="9" t="s">
        <v>187</v>
      </c>
    </row>
    <row r="10" spans="1:18" s="44" customFormat="1" ht="29.25" customHeight="1" x14ac:dyDescent="0.25">
      <c r="A10" s="536"/>
      <c r="B10" s="542"/>
      <c r="C10" s="98" t="s">
        <v>56</v>
      </c>
      <c r="D10" s="103" t="s">
        <v>74</v>
      </c>
      <c r="E10" s="103" t="s">
        <v>27</v>
      </c>
      <c r="F10" s="183" t="s">
        <v>77</v>
      </c>
      <c r="G10" s="163">
        <v>1</v>
      </c>
      <c r="H10" s="79" t="s">
        <v>243</v>
      </c>
      <c r="I10" s="180" t="s">
        <v>277</v>
      </c>
      <c r="J10" s="104">
        <v>1430437.95</v>
      </c>
      <c r="K10" s="104">
        <v>1451923.68</v>
      </c>
      <c r="L10" s="81">
        <f>1486585.71</f>
        <v>1486585.71</v>
      </c>
      <c r="M10" s="96">
        <v>1496048.81</v>
      </c>
      <c r="N10" s="104">
        <f t="shared" ref="N10:O10" si="0">M10</f>
        <v>1496048.81</v>
      </c>
      <c r="O10" s="104">
        <f t="shared" si="0"/>
        <v>1496048.81</v>
      </c>
      <c r="P10" s="104">
        <f>SUM(J10:O10)</f>
        <v>8857093.7700000014</v>
      </c>
      <c r="Q10" s="539"/>
    </row>
    <row r="11" spans="1:18" s="24" customFormat="1" ht="29.25" customHeight="1" x14ac:dyDescent="0.25">
      <c r="A11" s="536"/>
      <c r="B11" s="542"/>
      <c r="C11" s="202" t="s">
        <v>56</v>
      </c>
      <c r="D11" s="100" t="s">
        <v>74</v>
      </c>
      <c r="E11" s="100" t="s">
        <v>27</v>
      </c>
      <c r="F11" s="203" t="s">
        <v>77</v>
      </c>
      <c r="G11" s="204">
        <v>1</v>
      </c>
      <c r="H11" s="86" t="s">
        <v>243</v>
      </c>
      <c r="I11" s="100" t="s">
        <v>128</v>
      </c>
      <c r="J11" s="104"/>
      <c r="K11" s="104">
        <v>1560</v>
      </c>
      <c r="L11" s="81">
        <v>2236.1999999999998</v>
      </c>
      <c r="M11" s="96">
        <v>1560</v>
      </c>
      <c r="N11" s="104">
        <f t="shared" ref="N11:O11" si="1">M11</f>
        <v>1560</v>
      </c>
      <c r="O11" s="104">
        <f t="shared" si="1"/>
        <v>1560</v>
      </c>
      <c r="P11" s="104">
        <f>J11+K11+L11+M11+N11+O11</f>
        <v>8476.2000000000007</v>
      </c>
      <c r="Q11" s="539"/>
    </row>
    <row r="12" spans="1:18" ht="27" customHeight="1" x14ac:dyDescent="0.25">
      <c r="A12" s="536"/>
      <c r="B12" s="542"/>
      <c r="C12" s="202" t="s">
        <v>56</v>
      </c>
      <c r="D12" s="100" t="s">
        <v>74</v>
      </c>
      <c r="E12" s="100" t="s">
        <v>27</v>
      </c>
      <c r="F12" s="203" t="s">
        <v>77</v>
      </c>
      <c r="G12" s="204">
        <v>1</v>
      </c>
      <c r="H12" s="86" t="s">
        <v>243</v>
      </c>
      <c r="I12" s="100" t="s">
        <v>28</v>
      </c>
      <c r="J12" s="104">
        <f>1019485-3.2+1687.2</f>
        <v>1021169</v>
      </c>
      <c r="K12" s="104">
        <f>1027352.04-3300-6800</f>
        <v>1017252.04</v>
      </c>
      <c r="L12" s="81">
        <v>1157926.8</v>
      </c>
      <c r="M12" s="96">
        <f>1012423-41</f>
        <v>1012382</v>
      </c>
      <c r="N12" s="104">
        <f>1012423</f>
        <v>1012423</v>
      </c>
      <c r="O12" s="104">
        <f>N12</f>
        <v>1012423</v>
      </c>
      <c r="P12" s="104">
        <f>J12+K12+L12+M12+N12+O12</f>
        <v>6233575.8399999999</v>
      </c>
      <c r="Q12" s="539"/>
    </row>
    <row r="13" spans="1:18" s="56" customFormat="1" ht="27" customHeight="1" x14ac:dyDescent="0.25">
      <c r="A13" s="536"/>
      <c r="B13" s="542"/>
      <c r="C13" s="202" t="s">
        <v>56</v>
      </c>
      <c r="D13" s="99" t="s">
        <v>74</v>
      </c>
      <c r="E13" s="100" t="s">
        <v>27</v>
      </c>
      <c r="F13" s="404" t="s">
        <v>77</v>
      </c>
      <c r="G13" s="405">
        <v>1</v>
      </c>
      <c r="H13" s="406" t="s">
        <v>243</v>
      </c>
      <c r="I13" s="100" t="s">
        <v>127</v>
      </c>
      <c r="J13" s="205">
        <v>150</v>
      </c>
      <c r="K13" s="205">
        <v>160</v>
      </c>
      <c r="L13" s="88">
        <v>160</v>
      </c>
      <c r="M13" s="325"/>
      <c r="N13" s="104"/>
      <c r="O13" s="104"/>
      <c r="P13" s="104">
        <f>J13+K13+L13+M13+N13+O13</f>
        <v>470</v>
      </c>
      <c r="Q13" s="539"/>
    </row>
    <row r="14" spans="1:18" ht="27" customHeight="1" x14ac:dyDescent="0.25">
      <c r="A14" s="536"/>
      <c r="B14" s="542"/>
      <c r="C14" s="202" t="s">
        <v>56</v>
      </c>
      <c r="D14" s="99" t="s">
        <v>74</v>
      </c>
      <c r="E14" s="100" t="s">
        <v>27</v>
      </c>
      <c r="F14" s="404" t="s">
        <v>77</v>
      </c>
      <c r="G14" s="405">
        <v>1</v>
      </c>
      <c r="H14" s="406" t="s">
        <v>243</v>
      </c>
      <c r="I14" s="391">
        <v>853</v>
      </c>
      <c r="J14" s="403"/>
      <c r="K14" s="403"/>
      <c r="L14" s="403"/>
      <c r="M14" s="410">
        <v>160</v>
      </c>
      <c r="N14" s="410">
        <f>M14</f>
        <v>160</v>
      </c>
      <c r="O14" s="410">
        <f>N14</f>
        <v>160</v>
      </c>
      <c r="P14" s="104">
        <f>J14+K14+L14+M14+N14+O14</f>
        <v>480</v>
      </c>
      <c r="Q14" s="539"/>
    </row>
    <row r="15" spans="1:18" ht="127.5" customHeight="1" x14ac:dyDescent="0.25">
      <c r="A15" s="536"/>
      <c r="B15" s="527" t="s">
        <v>138</v>
      </c>
      <c r="C15" s="202" t="s">
        <v>56</v>
      </c>
      <c r="D15" s="99" t="s">
        <v>74</v>
      </c>
      <c r="E15" s="100" t="s">
        <v>27</v>
      </c>
      <c r="F15" s="407" t="s">
        <v>77</v>
      </c>
      <c r="G15" s="408">
        <v>1</v>
      </c>
      <c r="H15" s="409" t="s">
        <v>251</v>
      </c>
      <c r="I15" s="206" t="s">
        <v>79</v>
      </c>
      <c r="J15" s="205">
        <v>129363.95</v>
      </c>
      <c r="K15" s="207">
        <f>87047.1+46225.91</f>
        <v>133273.01</v>
      </c>
      <c r="L15" s="88">
        <v>28042.02</v>
      </c>
      <c r="M15" s="325"/>
      <c r="N15" s="205"/>
      <c r="O15" s="205"/>
      <c r="P15" s="104">
        <f t="shared" ref="P15:P16" si="2">J15+K15+L15+M15+N15</f>
        <v>290678.98000000004</v>
      </c>
      <c r="Q15" s="539"/>
    </row>
    <row r="16" spans="1:18" s="44" customFormat="1" ht="127.5" customHeight="1" x14ac:dyDescent="0.25">
      <c r="A16" s="536"/>
      <c r="B16" s="528"/>
      <c r="C16" s="202" t="s">
        <v>56</v>
      </c>
      <c r="D16" s="99" t="s">
        <v>74</v>
      </c>
      <c r="E16" s="100" t="s">
        <v>27</v>
      </c>
      <c r="F16" s="203" t="s">
        <v>77</v>
      </c>
      <c r="G16" s="204">
        <v>1</v>
      </c>
      <c r="H16" s="86" t="s">
        <v>251</v>
      </c>
      <c r="I16" s="206" t="s">
        <v>277</v>
      </c>
      <c r="J16" s="205">
        <v>39067.919999999998</v>
      </c>
      <c r="K16" s="207">
        <f>26288.22+13960.23</f>
        <v>40248.449999999997</v>
      </c>
      <c r="L16" s="88">
        <v>8468.69</v>
      </c>
      <c r="M16" s="325"/>
      <c r="N16" s="205"/>
      <c r="O16" s="205"/>
      <c r="P16" s="104">
        <f t="shared" si="2"/>
        <v>87785.06</v>
      </c>
      <c r="Q16" s="539"/>
    </row>
    <row r="17" spans="1:18" ht="142.5" customHeight="1" x14ac:dyDescent="0.25">
      <c r="A17" s="537"/>
      <c r="B17" s="125" t="s">
        <v>139</v>
      </c>
      <c r="C17" s="98" t="s">
        <v>56</v>
      </c>
      <c r="D17" s="99" t="s">
        <v>74</v>
      </c>
      <c r="E17" s="100" t="s">
        <v>27</v>
      </c>
      <c r="F17" s="101" t="s">
        <v>77</v>
      </c>
      <c r="G17" s="102">
        <v>1</v>
      </c>
      <c r="H17" s="100" t="s">
        <v>252</v>
      </c>
      <c r="I17" s="103" t="s">
        <v>79</v>
      </c>
      <c r="J17" s="104">
        <v>1306.71</v>
      </c>
      <c r="K17" s="104">
        <f>1371.86+88</f>
        <v>1459.86</v>
      </c>
      <c r="L17" s="96">
        <v>138.61000000000001</v>
      </c>
      <c r="M17" s="96"/>
      <c r="N17" s="104"/>
      <c r="O17" s="104"/>
      <c r="P17" s="104">
        <f>J17+K17+L17+M17+N17</f>
        <v>2905.18</v>
      </c>
      <c r="Q17" s="540"/>
    </row>
    <row r="18" spans="1:18" s="45" customFormat="1" ht="142.5" customHeight="1" x14ac:dyDescent="0.25">
      <c r="A18" s="208"/>
      <c r="B18" s="125" t="s">
        <v>139</v>
      </c>
      <c r="C18" s="98" t="s">
        <v>56</v>
      </c>
      <c r="D18" s="99" t="s">
        <v>74</v>
      </c>
      <c r="E18" s="100" t="s">
        <v>27</v>
      </c>
      <c r="F18" s="101" t="s">
        <v>77</v>
      </c>
      <c r="G18" s="102">
        <v>1</v>
      </c>
      <c r="H18" s="100" t="s">
        <v>252</v>
      </c>
      <c r="I18" s="103" t="s">
        <v>277</v>
      </c>
      <c r="J18" s="104">
        <f>J17*30.2%</f>
        <v>394.62642</v>
      </c>
      <c r="K18" s="104">
        <f>414.3+26.58</f>
        <v>440.88</v>
      </c>
      <c r="L18" s="96">
        <v>41.86</v>
      </c>
      <c r="M18" s="96"/>
      <c r="N18" s="104"/>
      <c r="O18" s="104"/>
      <c r="P18" s="104">
        <f>J18+K18+L18+M18+N18</f>
        <v>877.36641999999995</v>
      </c>
      <c r="Q18" s="105"/>
    </row>
    <row r="19" spans="1:18" s="51" customFormat="1" ht="142.5" customHeight="1" x14ac:dyDescent="0.25">
      <c r="A19" s="208"/>
      <c r="B19" s="106" t="s">
        <v>140</v>
      </c>
      <c r="C19" s="98" t="s">
        <v>56</v>
      </c>
      <c r="D19" s="99" t="s">
        <v>74</v>
      </c>
      <c r="E19" s="100" t="s">
        <v>27</v>
      </c>
      <c r="F19" s="101" t="s">
        <v>77</v>
      </c>
      <c r="G19" s="102">
        <v>1</v>
      </c>
      <c r="H19" s="100" t="s">
        <v>258</v>
      </c>
      <c r="I19" s="103" t="s">
        <v>79</v>
      </c>
      <c r="J19" s="104"/>
      <c r="K19" s="104"/>
      <c r="L19" s="96">
        <v>22877.15</v>
      </c>
      <c r="M19" s="96"/>
      <c r="N19" s="104"/>
      <c r="O19" s="104"/>
      <c r="P19" s="104">
        <f t="shared" ref="P19:P20" si="3">J19+K19+L19+M19+N19</f>
        <v>22877.15</v>
      </c>
      <c r="Q19" s="105"/>
    </row>
    <row r="20" spans="1:18" s="51" customFormat="1" ht="142.5" customHeight="1" x14ac:dyDescent="0.25">
      <c r="A20" s="360"/>
      <c r="B20" s="350" t="s">
        <v>140</v>
      </c>
      <c r="C20" s="98" t="s">
        <v>56</v>
      </c>
      <c r="D20" s="99" t="s">
        <v>74</v>
      </c>
      <c r="E20" s="100" t="s">
        <v>27</v>
      </c>
      <c r="F20" s="101" t="s">
        <v>77</v>
      </c>
      <c r="G20" s="102">
        <v>1</v>
      </c>
      <c r="H20" s="100" t="s">
        <v>258</v>
      </c>
      <c r="I20" s="103" t="s">
        <v>277</v>
      </c>
      <c r="J20" s="104"/>
      <c r="K20" s="104"/>
      <c r="L20" s="96">
        <v>6908.9</v>
      </c>
      <c r="M20" s="96"/>
      <c r="N20" s="104"/>
      <c r="O20" s="104"/>
      <c r="P20" s="104">
        <f t="shared" si="3"/>
        <v>6908.9</v>
      </c>
      <c r="Q20" s="105"/>
    </row>
    <row r="21" spans="1:18" ht="83.25" customHeight="1" x14ac:dyDescent="0.25">
      <c r="A21" s="209" t="s">
        <v>54</v>
      </c>
      <c r="B21" s="210" t="s">
        <v>120</v>
      </c>
      <c r="C21" s="98" t="s">
        <v>56</v>
      </c>
      <c r="D21" s="103" t="s">
        <v>74</v>
      </c>
      <c r="E21" s="103" t="s">
        <v>27</v>
      </c>
      <c r="F21" s="162" t="s">
        <v>77</v>
      </c>
      <c r="G21" s="163">
        <v>1</v>
      </c>
      <c r="H21" s="180" t="s">
        <v>244</v>
      </c>
      <c r="I21" s="103" t="s">
        <v>28</v>
      </c>
      <c r="J21" s="104">
        <f>5560+230+1160</f>
        <v>6950</v>
      </c>
      <c r="K21" s="104">
        <f>6120+236+6800</f>
        <v>13156</v>
      </c>
      <c r="L21" s="96">
        <f>13700</f>
        <v>13700</v>
      </c>
      <c r="M21" s="304"/>
      <c r="N21" s="136">
        <v>13700</v>
      </c>
      <c r="O21" s="136">
        <v>13700</v>
      </c>
      <c r="P21" s="104">
        <f>J21+K21+L21+M21+N21+O21</f>
        <v>61206</v>
      </c>
      <c r="Q21" s="211" t="s">
        <v>83</v>
      </c>
    </row>
    <row r="22" spans="1:18" ht="79.5" customHeight="1" x14ac:dyDescent="0.25">
      <c r="A22" s="212" t="s">
        <v>57</v>
      </c>
      <c r="B22" s="213" t="s">
        <v>121</v>
      </c>
      <c r="C22" s="98" t="s">
        <v>56</v>
      </c>
      <c r="D22" s="92" t="s">
        <v>74</v>
      </c>
      <c r="E22" s="93" t="s">
        <v>27</v>
      </c>
      <c r="F22" s="203" t="s">
        <v>77</v>
      </c>
      <c r="G22" s="204">
        <v>1</v>
      </c>
      <c r="H22" s="86" t="s">
        <v>242</v>
      </c>
      <c r="I22" s="93" t="s">
        <v>28</v>
      </c>
      <c r="J22" s="104">
        <v>370000</v>
      </c>
      <c r="K22" s="104">
        <v>370000</v>
      </c>
      <c r="L22" s="96">
        <v>370000</v>
      </c>
      <c r="M22" s="304">
        <v>370000</v>
      </c>
      <c r="N22" s="136">
        <f>M22</f>
        <v>370000</v>
      </c>
      <c r="O22" s="136">
        <v>370000</v>
      </c>
      <c r="P22" s="104">
        <f>J22+K22+L22+M22+N22+O22</f>
        <v>2220000</v>
      </c>
      <c r="Q22" s="211"/>
    </row>
    <row r="23" spans="1:18" ht="278.25" customHeight="1" x14ac:dyDescent="0.25">
      <c r="A23" s="212" t="s">
        <v>103</v>
      </c>
      <c r="B23" s="213" t="s">
        <v>302</v>
      </c>
      <c r="C23" s="98" t="s">
        <v>56</v>
      </c>
      <c r="D23" s="92" t="s">
        <v>74</v>
      </c>
      <c r="E23" s="93" t="s">
        <v>27</v>
      </c>
      <c r="F23" s="203" t="s">
        <v>77</v>
      </c>
      <c r="G23" s="204">
        <v>1</v>
      </c>
      <c r="H23" s="86" t="s">
        <v>253</v>
      </c>
      <c r="I23" s="93" t="s">
        <v>28</v>
      </c>
      <c r="J23" s="104">
        <f>27800-6800</f>
        <v>21000</v>
      </c>
      <c r="K23" s="104">
        <f>30600-7700+27200</f>
        <v>50100</v>
      </c>
      <c r="L23" s="81">
        <v>41100</v>
      </c>
      <c r="M23" s="96"/>
      <c r="N23" s="104"/>
      <c r="O23" s="104"/>
      <c r="P23" s="104">
        <f t="shared" ref="P23:P34" si="4">J23+K23+L23+M23+N23</f>
        <v>112200</v>
      </c>
      <c r="Q23" s="211"/>
      <c r="R23" s="33" t="s">
        <v>213</v>
      </c>
    </row>
    <row r="24" spans="1:18" s="56" customFormat="1" ht="170.25" customHeight="1" x14ac:dyDescent="0.25">
      <c r="A24" s="212" t="s">
        <v>160</v>
      </c>
      <c r="B24" s="213" t="s">
        <v>303</v>
      </c>
      <c r="C24" s="98" t="s">
        <v>56</v>
      </c>
      <c r="D24" s="92" t="s">
        <v>74</v>
      </c>
      <c r="E24" s="93" t="s">
        <v>27</v>
      </c>
      <c r="F24" s="203" t="s">
        <v>77</v>
      </c>
      <c r="G24" s="204">
        <v>1</v>
      </c>
      <c r="H24" s="86" t="s">
        <v>304</v>
      </c>
      <c r="I24" s="93" t="s">
        <v>28</v>
      </c>
      <c r="J24" s="104"/>
      <c r="K24" s="104"/>
      <c r="L24" s="81"/>
      <c r="M24" s="96">
        <f>41300</f>
        <v>41300</v>
      </c>
      <c r="N24" s="104"/>
      <c r="O24" s="104"/>
      <c r="P24" s="104">
        <f t="shared" si="4"/>
        <v>41300</v>
      </c>
      <c r="Q24" s="211"/>
    </row>
    <row r="25" spans="1:18" ht="111" customHeight="1" x14ac:dyDescent="0.25">
      <c r="A25" s="212" t="s">
        <v>172</v>
      </c>
      <c r="B25" s="213" t="s">
        <v>167</v>
      </c>
      <c r="C25" s="98" t="s">
        <v>56</v>
      </c>
      <c r="D25" s="92" t="s">
        <v>74</v>
      </c>
      <c r="E25" s="93" t="s">
        <v>27</v>
      </c>
      <c r="F25" s="203" t="s">
        <v>77</v>
      </c>
      <c r="G25" s="204">
        <v>1</v>
      </c>
      <c r="H25" s="86" t="s">
        <v>245</v>
      </c>
      <c r="I25" s="93" t="s">
        <v>28</v>
      </c>
      <c r="J25" s="104">
        <v>0</v>
      </c>
      <c r="K25" s="104">
        <f>3300-300</f>
        <v>3000</v>
      </c>
      <c r="L25" s="81">
        <f>2500-300</f>
        <v>2200</v>
      </c>
      <c r="M25" s="96"/>
      <c r="N25" s="104">
        <v>0</v>
      </c>
      <c r="O25" s="104"/>
      <c r="P25" s="104">
        <f t="shared" si="4"/>
        <v>5200</v>
      </c>
      <c r="Q25" s="211"/>
      <c r="R25" s="42" t="s">
        <v>275</v>
      </c>
    </row>
    <row r="26" spans="1:18" s="56" customFormat="1" ht="151.5" customHeight="1" x14ac:dyDescent="0.25">
      <c r="A26" s="212" t="s">
        <v>196</v>
      </c>
      <c r="B26" s="213" t="s">
        <v>303</v>
      </c>
      <c r="C26" s="98" t="s">
        <v>56</v>
      </c>
      <c r="D26" s="92" t="s">
        <v>74</v>
      </c>
      <c r="E26" s="93" t="s">
        <v>27</v>
      </c>
      <c r="F26" s="203" t="s">
        <v>77</v>
      </c>
      <c r="G26" s="204">
        <v>1</v>
      </c>
      <c r="H26" s="86" t="s">
        <v>304</v>
      </c>
      <c r="I26" s="93" t="s">
        <v>28</v>
      </c>
      <c r="J26" s="104"/>
      <c r="K26" s="104"/>
      <c r="L26" s="81"/>
      <c r="M26" s="96">
        <f>2100</f>
        <v>2100</v>
      </c>
      <c r="N26" s="104"/>
      <c r="O26" s="104"/>
      <c r="P26" s="104">
        <f t="shared" si="4"/>
        <v>2100</v>
      </c>
      <c r="Q26" s="211"/>
      <c r="R26" s="42"/>
    </row>
    <row r="27" spans="1:18" s="23" customFormat="1" ht="131.25" customHeight="1" x14ac:dyDescent="0.25">
      <c r="A27" s="212" t="s">
        <v>230</v>
      </c>
      <c r="B27" s="213" t="s">
        <v>171</v>
      </c>
      <c r="C27" s="98" t="s">
        <v>56</v>
      </c>
      <c r="D27" s="92" t="s">
        <v>74</v>
      </c>
      <c r="E27" s="93" t="s">
        <v>27</v>
      </c>
      <c r="F27" s="94" t="s">
        <v>77</v>
      </c>
      <c r="G27" s="95">
        <v>1</v>
      </c>
      <c r="H27" s="114" t="s">
        <v>254</v>
      </c>
      <c r="I27" s="93" t="s">
        <v>79</v>
      </c>
      <c r="J27" s="104">
        <v>4112.6400000000003</v>
      </c>
      <c r="K27" s="104"/>
      <c r="L27" s="81"/>
      <c r="M27" s="96"/>
      <c r="N27" s="104"/>
      <c r="O27" s="104"/>
      <c r="P27" s="104">
        <f t="shared" si="4"/>
        <v>4112.6400000000003</v>
      </c>
      <c r="Q27" s="211"/>
    </row>
    <row r="28" spans="1:18" s="45" customFormat="1" ht="131.25" customHeight="1" x14ac:dyDescent="0.25">
      <c r="A28" s="384" t="s">
        <v>278</v>
      </c>
      <c r="B28" s="213" t="s">
        <v>171</v>
      </c>
      <c r="C28" s="98" t="s">
        <v>56</v>
      </c>
      <c r="D28" s="92" t="s">
        <v>74</v>
      </c>
      <c r="E28" s="93" t="s">
        <v>27</v>
      </c>
      <c r="F28" s="94" t="s">
        <v>77</v>
      </c>
      <c r="G28" s="95">
        <v>1</v>
      </c>
      <c r="H28" s="114" t="s">
        <v>254</v>
      </c>
      <c r="I28" s="214" t="s">
        <v>277</v>
      </c>
      <c r="J28" s="104">
        <v>1242.02</v>
      </c>
      <c r="K28" s="104"/>
      <c r="L28" s="81"/>
      <c r="M28" s="96"/>
      <c r="N28" s="104"/>
      <c r="O28" s="104"/>
      <c r="P28" s="104">
        <f t="shared" ref="P28" si="5">J28+K28+L28+M28+N28</f>
        <v>1242.02</v>
      </c>
      <c r="Q28" s="211"/>
    </row>
    <row r="29" spans="1:18" s="32" customFormat="1" ht="128.25" customHeight="1" x14ac:dyDescent="0.25">
      <c r="A29" s="360" t="s">
        <v>295</v>
      </c>
      <c r="B29" s="361" t="s">
        <v>198</v>
      </c>
      <c r="C29" s="98" t="s">
        <v>56</v>
      </c>
      <c r="D29" s="92" t="s">
        <v>74</v>
      </c>
      <c r="E29" s="93" t="s">
        <v>27</v>
      </c>
      <c r="F29" s="94" t="s">
        <v>77</v>
      </c>
      <c r="G29" s="95">
        <v>1</v>
      </c>
      <c r="H29" s="215" t="s">
        <v>255</v>
      </c>
      <c r="I29" s="93" t="s">
        <v>28</v>
      </c>
      <c r="J29" s="104"/>
      <c r="K29" s="104">
        <v>3300</v>
      </c>
      <c r="L29" s="81">
        <v>250</v>
      </c>
      <c r="M29" s="96"/>
      <c r="N29" s="104">
        <v>260</v>
      </c>
      <c r="O29" s="104">
        <v>260</v>
      </c>
      <c r="P29" s="104">
        <f>J29+K29+L29+M29+N29+O29</f>
        <v>4070</v>
      </c>
      <c r="Q29" s="211"/>
    </row>
    <row r="30" spans="1:18" s="36" customFormat="1" ht="91.5" customHeight="1" x14ac:dyDescent="0.25">
      <c r="A30" s="384" t="s">
        <v>296</v>
      </c>
      <c r="B30" s="117" t="s">
        <v>231</v>
      </c>
      <c r="C30" s="98" t="s">
        <v>56</v>
      </c>
      <c r="D30" s="92" t="s">
        <v>74</v>
      </c>
      <c r="E30" s="93" t="s">
        <v>27</v>
      </c>
      <c r="F30" s="94" t="s">
        <v>77</v>
      </c>
      <c r="G30" s="95">
        <v>1</v>
      </c>
      <c r="H30" s="114" t="s">
        <v>256</v>
      </c>
      <c r="I30" s="93" t="s">
        <v>28</v>
      </c>
      <c r="J30" s="104"/>
      <c r="K30" s="104">
        <v>116125</v>
      </c>
      <c r="L30" s="81"/>
      <c r="M30" s="96"/>
      <c r="N30" s="104"/>
      <c r="O30" s="104"/>
      <c r="P30" s="104">
        <f t="shared" si="4"/>
        <v>116125</v>
      </c>
      <c r="Q30" s="211"/>
    </row>
    <row r="31" spans="1:18" s="39" customFormat="1" ht="144" customHeight="1" x14ac:dyDescent="0.25">
      <c r="A31" s="384" t="s">
        <v>305</v>
      </c>
      <c r="B31" s="117" t="s">
        <v>240</v>
      </c>
      <c r="C31" s="98" t="s">
        <v>56</v>
      </c>
      <c r="D31" s="92" t="s">
        <v>74</v>
      </c>
      <c r="E31" s="93" t="s">
        <v>27</v>
      </c>
      <c r="F31" s="94" t="s">
        <v>77</v>
      </c>
      <c r="G31" s="95">
        <v>1</v>
      </c>
      <c r="H31" s="114" t="s">
        <v>257</v>
      </c>
      <c r="I31" s="93" t="s">
        <v>28</v>
      </c>
      <c r="J31" s="104"/>
      <c r="K31" s="104">
        <v>200000</v>
      </c>
      <c r="L31" s="81"/>
      <c r="M31" s="96"/>
      <c r="N31" s="104"/>
      <c r="O31" s="104"/>
      <c r="P31" s="104">
        <f t="shared" si="4"/>
        <v>200000</v>
      </c>
      <c r="Q31" s="211"/>
    </row>
    <row r="32" spans="1:18" s="56" customFormat="1" ht="145.5" customHeight="1" x14ac:dyDescent="0.25">
      <c r="A32" s="445" t="s">
        <v>309</v>
      </c>
      <c r="B32" s="529" t="s">
        <v>308</v>
      </c>
      <c r="C32" s="443" t="s">
        <v>56</v>
      </c>
      <c r="D32" s="92" t="s">
        <v>74</v>
      </c>
      <c r="E32" s="93" t="s">
        <v>27</v>
      </c>
      <c r="F32" s="94" t="s">
        <v>77</v>
      </c>
      <c r="G32" s="95">
        <v>1</v>
      </c>
      <c r="H32" s="114" t="s">
        <v>310</v>
      </c>
      <c r="I32" s="93" t="s">
        <v>79</v>
      </c>
      <c r="J32" s="104"/>
      <c r="K32" s="104"/>
      <c r="L32" s="81"/>
      <c r="M32" s="96">
        <f>268817.2</f>
        <v>268817.2</v>
      </c>
      <c r="N32" s="104"/>
      <c r="O32" s="104"/>
      <c r="P32" s="104">
        <f t="shared" si="4"/>
        <v>268817.2</v>
      </c>
      <c r="Q32" s="211"/>
    </row>
    <row r="33" spans="1:18" s="56" customFormat="1" ht="67.5" customHeight="1" x14ac:dyDescent="0.25">
      <c r="A33" s="446"/>
      <c r="B33" s="530"/>
      <c r="C33" s="444"/>
      <c r="D33" s="92" t="s">
        <v>74</v>
      </c>
      <c r="E33" s="93" t="s">
        <v>27</v>
      </c>
      <c r="F33" s="94" t="s">
        <v>77</v>
      </c>
      <c r="G33" s="95">
        <v>1</v>
      </c>
      <c r="H33" s="114" t="s">
        <v>310</v>
      </c>
      <c r="I33" s="93" t="s">
        <v>277</v>
      </c>
      <c r="J33" s="104"/>
      <c r="K33" s="104"/>
      <c r="L33" s="81"/>
      <c r="M33" s="96">
        <v>81182.8</v>
      </c>
      <c r="N33" s="104"/>
      <c r="O33" s="104"/>
      <c r="P33" s="104">
        <f t="shared" si="4"/>
        <v>81182.8</v>
      </c>
      <c r="Q33" s="211"/>
    </row>
    <row r="34" spans="1:18" s="56" customFormat="1" ht="113.25" customHeight="1" x14ac:dyDescent="0.25">
      <c r="A34" s="401" t="s">
        <v>313</v>
      </c>
      <c r="B34" s="402" t="s">
        <v>120</v>
      </c>
      <c r="C34" s="400" t="s">
        <v>56</v>
      </c>
      <c r="D34" s="92" t="s">
        <v>74</v>
      </c>
      <c r="E34" s="93" t="s">
        <v>27</v>
      </c>
      <c r="F34" s="94" t="s">
        <v>77</v>
      </c>
      <c r="G34" s="95">
        <v>1</v>
      </c>
      <c r="H34" s="114" t="s">
        <v>314</v>
      </c>
      <c r="I34" s="93" t="s">
        <v>28</v>
      </c>
      <c r="J34" s="104"/>
      <c r="K34" s="104"/>
      <c r="L34" s="81"/>
      <c r="M34" s="96">
        <f>14001</f>
        <v>14001</v>
      </c>
      <c r="N34" s="104"/>
      <c r="O34" s="104"/>
      <c r="P34" s="104">
        <f t="shared" si="4"/>
        <v>14001</v>
      </c>
      <c r="Q34" s="211"/>
    </row>
    <row r="35" spans="1:18" ht="31.5" customHeight="1" x14ac:dyDescent="0.25">
      <c r="A35" s="216"/>
      <c r="B35" s="217" t="s">
        <v>15</v>
      </c>
      <c r="C35" s="218"/>
      <c r="D35" s="217"/>
      <c r="E35" s="217"/>
      <c r="F35" s="219"/>
      <c r="G35" s="220"/>
      <c r="H35" s="221"/>
      <c r="I35" s="217"/>
      <c r="J35" s="222">
        <f>SUM(J9:J28)</f>
        <v>7761783.0264199991</v>
      </c>
      <c r="K35" s="222">
        <f>SUM(K9:K31)</f>
        <v>8209693.25</v>
      </c>
      <c r="L35" s="222">
        <f>SUM(L9:L31)</f>
        <v>8063105.1600000011</v>
      </c>
      <c r="M35" s="328">
        <f>SUM(M9:M34)</f>
        <v>8241355.8200000003</v>
      </c>
      <c r="N35" s="222">
        <f>SUM(N9:N31)</f>
        <v>7847955.8200000003</v>
      </c>
      <c r="O35" s="222">
        <f>SUM(O9:O31)</f>
        <v>7847955.8200000003</v>
      </c>
      <c r="P35" s="222">
        <f>J35+K35+L35+M35+N35+O35</f>
        <v>47971848.896420002</v>
      </c>
      <c r="Q35" s="218"/>
      <c r="R35" s="8"/>
    </row>
    <row r="36" spans="1:18" ht="32.25" customHeight="1" x14ac:dyDescent="0.25">
      <c r="A36" s="199" t="s">
        <v>16</v>
      </c>
      <c r="B36" s="519" t="s">
        <v>71</v>
      </c>
      <c r="C36" s="520"/>
      <c r="D36" s="520"/>
      <c r="E36" s="520"/>
      <c r="F36" s="520"/>
      <c r="G36" s="520"/>
      <c r="H36" s="520"/>
      <c r="I36" s="520"/>
      <c r="J36" s="520"/>
      <c r="K36" s="520"/>
      <c r="L36" s="520"/>
      <c r="M36" s="520"/>
      <c r="N36" s="520"/>
      <c r="O36" s="520"/>
      <c r="P36" s="521"/>
      <c r="Q36" s="223"/>
    </row>
    <row r="37" spans="1:18" ht="171" customHeight="1" x14ac:dyDescent="0.25">
      <c r="A37" s="209" t="s">
        <v>17</v>
      </c>
      <c r="B37" s="350" t="s">
        <v>122</v>
      </c>
      <c r="C37" s="98" t="s">
        <v>56</v>
      </c>
      <c r="D37" s="343" t="s">
        <v>74</v>
      </c>
      <c r="E37" s="343" t="s">
        <v>27</v>
      </c>
      <c r="F37" s="162" t="s">
        <v>77</v>
      </c>
      <c r="G37" s="341">
        <v>1</v>
      </c>
      <c r="H37" s="79" t="s">
        <v>243</v>
      </c>
      <c r="I37" s="343" t="s">
        <v>78</v>
      </c>
      <c r="J37" s="104">
        <f>2089586.88+21000-109173.01+61290+46791.28</f>
        <v>2109495.15</v>
      </c>
      <c r="K37" s="104">
        <f>2190463.8-317.56-22486.6-165.41</f>
        <v>2167494.2299999995</v>
      </c>
      <c r="L37" s="81">
        <v>2282088.83</v>
      </c>
      <c r="M37" s="96">
        <v>2638085.84</v>
      </c>
      <c r="N37" s="104">
        <f>M37</f>
        <v>2638085.84</v>
      </c>
      <c r="O37" s="104">
        <v>2638085.84</v>
      </c>
      <c r="P37" s="104">
        <f>J37+K37+L37+M37+N37+O37</f>
        <v>14473335.729999999</v>
      </c>
      <c r="Q37" s="350" t="s">
        <v>81</v>
      </c>
    </row>
    <row r="38" spans="1:18" ht="134.25" customHeight="1" x14ac:dyDescent="0.25">
      <c r="A38" s="362"/>
      <c r="B38" s="363" t="s">
        <v>138</v>
      </c>
      <c r="C38" s="364" t="s">
        <v>56</v>
      </c>
      <c r="D38" s="365" t="s">
        <v>74</v>
      </c>
      <c r="E38" s="365" t="s">
        <v>27</v>
      </c>
      <c r="F38" s="366" t="s">
        <v>77</v>
      </c>
      <c r="G38" s="367">
        <v>1</v>
      </c>
      <c r="H38" s="365" t="s">
        <v>251</v>
      </c>
      <c r="I38" s="365" t="s">
        <v>78</v>
      </c>
      <c r="J38" s="368">
        <f>108081.28-46791.28+9459.03</f>
        <v>70749.03</v>
      </c>
      <c r="K38" s="369">
        <f>31710.43+31755.55+42891.99</f>
        <v>106357.97</v>
      </c>
      <c r="L38" s="81">
        <v>14532.72</v>
      </c>
      <c r="M38" s="370"/>
      <c r="N38" s="368"/>
      <c r="O38" s="368"/>
      <c r="P38" s="368">
        <f t="shared" ref="P38:P42" si="6">J38+K38+L38+M38+N38</f>
        <v>191639.72</v>
      </c>
      <c r="Q38" s="352"/>
    </row>
    <row r="39" spans="1:18" ht="163.5" customHeight="1" x14ac:dyDescent="0.25">
      <c r="A39" s="212"/>
      <c r="B39" s="350" t="s">
        <v>139</v>
      </c>
      <c r="C39" s="202" t="s">
        <v>56</v>
      </c>
      <c r="D39" s="100" t="s">
        <v>74</v>
      </c>
      <c r="E39" s="100" t="s">
        <v>27</v>
      </c>
      <c r="F39" s="101" t="s">
        <v>77</v>
      </c>
      <c r="G39" s="102">
        <v>1</v>
      </c>
      <c r="H39" s="100" t="s">
        <v>252</v>
      </c>
      <c r="I39" s="100" t="s">
        <v>78</v>
      </c>
      <c r="J39" s="104">
        <v>1091.73</v>
      </c>
      <c r="K39" s="104">
        <f>591.35+317.56+165.41</f>
        <v>1074.3200000000002</v>
      </c>
      <c r="L39" s="81">
        <v>156.94</v>
      </c>
      <c r="M39" s="96"/>
      <c r="N39" s="104"/>
      <c r="O39" s="104"/>
      <c r="P39" s="104">
        <f t="shared" si="6"/>
        <v>2322.9900000000002</v>
      </c>
      <c r="Q39" s="363"/>
    </row>
    <row r="40" spans="1:18" ht="81.75" customHeight="1" x14ac:dyDescent="0.25">
      <c r="A40" s="103" t="s">
        <v>72</v>
      </c>
      <c r="B40" s="125" t="s">
        <v>129</v>
      </c>
      <c r="C40" s="98" t="s">
        <v>56</v>
      </c>
      <c r="D40" s="103" t="s">
        <v>74</v>
      </c>
      <c r="E40" s="103" t="s">
        <v>27</v>
      </c>
      <c r="F40" s="162" t="s">
        <v>77</v>
      </c>
      <c r="G40" s="163">
        <v>1</v>
      </c>
      <c r="H40" s="79" t="s">
        <v>246</v>
      </c>
      <c r="I40" s="103" t="s">
        <v>80</v>
      </c>
      <c r="J40" s="104">
        <v>12000</v>
      </c>
      <c r="K40" s="104">
        <v>0</v>
      </c>
      <c r="L40" s="81">
        <v>0</v>
      </c>
      <c r="M40" s="96"/>
      <c r="N40" s="104"/>
      <c r="O40" s="104"/>
      <c r="P40" s="104">
        <f t="shared" si="6"/>
        <v>12000</v>
      </c>
      <c r="Q40" s="125" t="s">
        <v>130</v>
      </c>
    </row>
    <row r="41" spans="1:18" ht="162" customHeight="1" x14ac:dyDescent="0.25">
      <c r="A41" s="103" t="s">
        <v>73</v>
      </c>
      <c r="B41" s="125" t="s">
        <v>171</v>
      </c>
      <c r="C41" s="98" t="s">
        <v>56</v>
      </c>
      <c r="D41" s="103" t="s">
        <v>74</v>
      </c>
      <c r="E41" s="103" t="s">
        <v>27</v>
      </c>
      <c r="F41" s="162" t="s">
        <v>77</v>
      </c>
      <c r="G41" s="163">
        <v>1</v>
      </c>
      <c r="H41" s="79" t="s">
        <v>254</v>
      </c>
      <c r="I41" s="103" t="s">
        <v>78</v>
      </c>
      <c r="J41" s="87">
        <v>2593.52</v>
      </c>
      <c r="K41" s="87"/>
      <c r="L41" s="81"/>
      <c r="M41" s="81"/>
      <c r="N41" s="87"/>
      <c r="O41" s="87"/>
      <c r="P41" s="104">
        <f t="shared" si="6"/>
        <v>2593.52</v>
      </c>
      <c r="Q41" s="125"/>
    </row>
    <row r="42" spans="1:18" s="56" customFormat="1" ht="169.5" customHeight="1" x14ac:dyDescent="0.25">
      <c r="A42" s="388" t="s">
        <v>311</v>
      </c>
      <c r="B42" s="389" t="s">
        <v>308</v>
      </c>
      <c r="C42" s="98" t="s">
        <v>56</v>
      </c>
      <c r="D42" s="388" t="s">
        <v>74</v>
      </c>
      <c r="E42" s="388" t="s">
        <v>27</v>
      </c>
      <c r="F42" s="162" t="s">
        <v>77</v>
      </c>
      <c r="G42" s="387">
        <v>1</v>
      </c>
      <c r="H42" s="79" t="s">
        <v>310</v>
      </c>
      <c r="I42" s="388" t="s">
        <v>78</v>
      </c>
      <c r="J42" s="87"/>
      <c r="K42" s="87"/>
      <c r="L42" s="81"/>
      <c r="M42" s="81">
        <f>122000</f>
        <v>122000</v>
      </c>
      <c r="N42" s="87"/>
      <c r="O42" s="87"/>
      <c r="P42" s="104">
        <f t="shared" si="6"/>
        <v>122000</v>
      </c>
      <c r="Q42" s="389"/>
    </row>
    <row r="43" spans="1:18" ht="32.25" customHeight="1" x14ac:dyDescent="0.25">
      <c r="A43" s="216"/>
      <c r="B43" s="217" t="s">
        <v>18</v>
      </c>
      <c r="C43" s="218"/>
      <c r="D43" s="217"/>
      <c r="E43" s="217"/>
      <c r="F43" s="219"/>
      <c r="G43" s="220"/>
      <c r="H43" s="221"/>
      <c r="I43" s="217"/>
      <c r="J43" s="222">
        <f t="shared" ref="J43:O43" si="7">SUM(J37:J41)</f>
        <v>2195929.4299999997</v>
      </c>
      <c r="K43" s="222">
        <f t="shared" si="7"/>
        <v>2274926.5199999996</v>
      </c>
      <c r="L43" s="222">
        <f t="shared" si="7"/>
        <v>2296778.4900000002</v>
      </c>
      <c r="M43" s="222">
        <f>SUM(M37:M42)</f>
        <v>2760085.84</v>
      </c>
      <c r="N43" s="222">
        <f t="shared" si="7"/>
        <v>2638085.84</v>
      </c>
      <c r="O43" s="222">
        <f t="shared" si="7"/>
        <v>2638085.84</v>
      </c>
      <c r="P43" s="222">
        <f>SUM(P37:P42)</f>
        <v>14803891.959999999</v>
      </c>
      <c r="Q43" s="218"/>
      <c r="R43" s="8"/>
    </row>
    <row r="44" spans="1:18" ht="36" customHeight="1" x14ac:dyDescent="0.25">
      <c r="A44" s="224"/>
      <c r="B44" s="225" t="s">
        <v>97</v>
      </c>
      <c r="C44" s="225"/>
      <c r="D44" s="225"/>
      <c r="E44" s="225"/>
      <c r="F44" s="226"/>
      <c r="G44" s="227"/>
      <c r="H44" s="228"/>
      <c r="I44" s="225"/>
      <c r="J44" s="229">
        <f t="shared" ref="J44:O44" si="8">J35+J43</f>
        <v>9957712.4564199988</v>
      </c>
      <c r="K44" s="229">
        <f t="shared" si="8"/>
        <v>10484619.77</v>
      </c>
      <c r="L44" s="229">
        <f t="shared" si="8"/>
        <v>10359883.650000002</v>
      </c>
      <c r="M44" s="229">
        <f t="shared" si="8"/>
        <v>11001441.66</v>
      </c>
      <c r="N44" s="229">
        <f t="shared" si="8"/>
        <v>10486041.66</v>
      </c>
      <c r="O44" s="229">
        <f t="shared" si="8"/>
        <v>10486041.66</v>
      </c>
      <c r="P44" s="229">
        <f>J44+K44+L44+M44+N44+O44</f>
        <v>62775740.856419995</v>
      </c>
      <c r="Q44" s="225"/>
      <c r="R44" s="8"/>
    </row>
    <row r="45" spans="1:18" x14ac:dyDescent="0.25">
      <c r="A45" s="103"/>
      <c r="B45" s="125" t="s">
        <v>25</v>
      </c>
      <c r="C45" s="125"/>
      <c r="D45" s="125"/>
      <c r="E45" s="125"/>
      <c r="F45" s="162"/>
      <c r="G45" s="163"/>
      <c r="H45" s="230"/>
      <c r="I45" s="125"/>
      <c r="J45" s="104"/>
      <c r="K45" s="104"/>
      <c r="L45" s="104"/>
      <c r="M45" s="96"/>
      <c r="N45" s="104"/>
      <c r="O45" s="104"/>
      <c r="P45" s="229">
        <f t="shared" ref="P45:P46" si="9">J45+K45+L45+M45+N45</f>
        <v>0</v>
      </c>
      <c r="Q45" s="125"/>
    </row>
    <row r="46" spans="1:18" ht="20.25" customHeight="1" x14ac:dyDescent="0.25">
      <c r="A46" s="103"/>
      <c r="B46" s="125" t="s">
        <v>168</v>
      </c>
      <c r="C46" s="125"/>
      <c r="D46" s="125"/>
      <c r="E46" s="125"/>
      <c r="F46" s="162"/>
      <c r="G46" s="163"/>
      <c r="H46" s="230"/>
      <c r="I46" s="125"/>
      <c r="J46" s="104"/>
      <c r="K46" s="104">
        <v>3000</v>
      </c>
      <c r="L46" s="104">
        <f>L25</f>
        <v>2200</v>
      </c>
      <c r="M46" s="96">
        <f>M26</f>
        <v>2100</v>
      </c>
      <c r="N46" s="104">
        <f t="shared" ref="N46" si="10">N25</f>
        <v>0</v>
      </c>
      <c r="O46" s="104"/>
      <c r="P46" s="229">
        <f t="shared" si="9"/>
        <v>7300</v>
      </c>
      <c r="Q46" s="125"/>
    </row>
    <row r="47" spans="1:18" ht="20.25" customHeight="1" x14ac:dyDescent="0.25">
      <c r="A47" s="103"/>
      <c r="B47" s="126" t="s">
        <v>169</v>
      </c>
      <c r="C47" s="125"/>
      <c r="D47" s="125"/>
      <c r="E47" s="125"/>
      <c r="F47" s="162"/>
      <c r="G47" s="163"/>
      <c r="H47" s="230"/>
      <c r="I47" s="125"/>
      <c r="J47" s="104">
        <v>314531.21000000002</v>
      </c>
      <c r="K47" s="104">
        <f>K38+K15+K23+K16</f>
        <v>329979.43</v>
      </c>
      <c r="L47" s="104">
        <f>L23+L15+L16+L38+L19+L20</f>
        <v>121929.48000000001</v>
      </c>
      <c r="M47" s="104">
        <f>M23+M15+M16+M38+M19+M20+M24+M32+M33+M42</f>
        <v>513300</v>
      </c>
      <c r="N47" s="104">
        <f>N23+N15+N16+N38+N19+N20</f>
        <v>0</v>
      </c>
      <c r="O47" s="104">
        <f>O23+O15+O16+O38+O19+O20</f>
        <v>0</v>
      </c>
      <c r="P47" s="229">
        <f>J47+K47+L47+M47+N47</f>
        <v>1279740.1200000001</v>
      </c>
      <c r="Q47" s="125"/>
    </row>
    <row r="48" spans="1:18" ht="23.25" customHeight="1" x14ac:dyDescent="0.25">
      <c r="A48" s="103"/>
      <c r="B48" s="125" t="s">
        <v>170</v>
      </c>
      <c r="C48" s="125"/>
      <c r="D48" s="125"/>
      <c r="E48" s="125"/>
      <c r="F48" s="162"/>
      <c r="G48" s="163"/>
      <c r="H48" s="230"/>
      <c r="I48" s="125"/>
      <c r="J48" s="104">
        <f>J35+J43-J47</f>
        <v>9643181.2464199979</v>
      </c>
      <c r="K48" s="104">
        <f>K35+K43-K46-K47</f>
        <v>10151640.34</v>
      </c>
      <c r="L48" s="104">
        <f>L35+L43-L46-L47</f>
        <v>10235754.170000002</v>
      </c>
      <c r="M48" s="104">
        <f>M35+M43-M46-M47</f>
        <v>10486041.66</v>
      </c>
      <c r="N48" s="104">
        <f>N35+N43-N46-N47</f>
        <v>10486041.66</v>
      </c>
      <c r="O48" s="104">
        <f>O35+O43-O46-O47</f>
        <v>10486041.66</v>
      </c>
      <c r="P48" s="104">
        <f>SUM(J48:O48)</f>
        <v>61488700.736419991</v>
      </c>
      <c r="Q48" s="125"/>
      <c r="R48" s="8"/>
    </row>
    <row r="49" spans="1:18" ht="46.5" customHeight="1" x14ac:dyDescent="0.25">
      <c r="A49" s="1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91"/>
      <c r="N49" s="2"/>
      <c r="O49" s="2"/>
      <c r="P49" s="2"/>
      <c r="Q49" s="2"/>
      <c r="R49" s="22"/>
    </row>
    <row r="50" spans="1:18" x14ac:dyDescent="0.25">
      <c r="A50" s="13"/>
      <c r="B50" s="2"/>
      <c r="C50" s="2"/>
      <c r="D50" s="2"/>
      <c r="E50" s="2"/>
      <c r="F50" s="13"/>
      <c r="G50" s="14"/>
      <c r="H50" s="14"/>
      <c r="I50" s="2"/>
      <c r="J50" s="3"/>
      <c r="K50" s="3"/>
      <c r="L50" s="3"/>
      <c r="M50" s="295"/>
      <c r="N50" s="3"/>
      <c r="O50" s="3"/>
      <c r="P50" s="3"/>
      <c r="Q50" s="2"/>
      <c r="R50" s="8"/>
    </row>
    <row r="51" spans="1:18" s="11" customFormat="1" ht="35.25" customHeight="1" x14ac:dyDescent="0.25">
      <c r="A51" s="515"/>
      <c r="B51" s="515"/>
      <c r="C51" s="515"/>
      <c r="D51" s="515"/>
      <c r="E51" s="515"/>
      <c r="F51" s="515"/>
      <c r="G51" s="515"/>
      <c r="H51" s="515"/>
      <c r="I51" s="515"/>
      <c r="J51" s="10"/>
      <c r="K51" s="10"/>
      <c r="L51" s="10"/>
      <c r="M51" s="292"/>
      <c r="N51" s="10"/>
      <c r="O51" s="10"/>
      <c r="P51" s="10"/>
    </row>
    <row r="54" spans="1:18" x14ac:dyDescent="0.25">
      <c r="J54" s="8"/>
      <c r="K54" s="8"/>
      <c r="L54" s="8"/>
      <c r="M54" s="293"/>
      <c r="N54" s="8"/>
      <c r="O54" s="8"/>
      <c r="P54" s="8"/>
    </row>
    <row r="55" spans="1:18" x14ac:dyDescent="0.25">
      <c r="J55" s="8"/>
      <c r="K55" s="8"/>
      <c r="L55" s="8"/>
      <c r="M55" s="293"/>
      <c r="N55" s="8"/>
      <c r="O55" s="8"/>
      <c r="P55" s="8"/>
      <c r="R55" s="8"/>
    </row>
  </sheetData>
  <mergeCells count="22">
    <mergeCell ref="P1:Q1"/>
    <mergeCell ref="P2:Q2"/>
    <mergeCell ref="A3:P3"/>
    <mergeCell ref="E2:G2"/>
    <mergeCell ref="A9:A17"/>
    <mergeCell ref="Q9:Q17"/>
    <mergeCell ref="B9:B14"/>
    <mergeCell ref="Q5:Q6"/>
    <mergeCell ref="A51:I51"/>
    <mergeCell ref="F6:H6"/>
    <mergeCell ref="B36:P36"/>
    <mergeCell ref="B7:P7"/>
    <mergeCell ref="B8:P8"/>
    <mergeCell ref="A5:A6"/>
    <mergeCell ref="B5:B6"/>
    <mergeCell ref="C5:C6"/>
    <mergeCell ref="D5:I5"/>
    <mergeCell ref="J5:P5"/>
    <mergeCell ref="B15:B16"/>
    <mergeCell ref="B32:B33"/>
    <mergeCell ref="C32:C33"/>
    <mergeCell ref="A32:A33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55" fitToHeight="17" orientation="landscape" r:id="rId1"/>
  <headerFooter alignWithMargins="0"/>
  <rowBreaks count="3" manualBreakCount="3">
    <brk id="20" max="14" man="1"/>
    <brk id="37" max="14" man="1"/>
    <brk id="49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T65"/>
  <sheetViews>
    <sheetView tabSelected="1" view="pageBreakPreview" zoomScale="58" zoomScaleSheetLayoutView="58" workbookViewId="0">
      <selection activeCell="M1" sqref="M1:Q1"/>
    </sheetView>
  </sheetViews>
  <sheetFormatPr defaultColWidth="9.109375" defaultRowHeight="15.6" x14ac:dyDescent="0.25"/>
  <cols>
    <col min="1" max="1" width="7.6640625" style="12" customWidth="1"/>
    <col min="2" max="2" width="32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1.5546875" style="9" customWidth="1"/>
    <col min="9" max="9" width="11.44140625" style="9" customWidth="1"/>
    <col min="10" max="10" width="19.6640625" style="9" customWidth="1"/>
    <col min="11" max="11" width="20.44140625" style="9" customWidth="1"/>
    <col min="12" max="12" width="21.88671875" style="9" customWidth="1"/>
    <col min="13" max="13" width="19.109375" style="294" customWidth="1"/>
    <col min="14" max="14" width="20.6640625" style="40" customWidth="1"/>
    <col min="15" max="15" width="21.44140625" style="56" customWidth="1"/>
    <col min="16" max="16" width="20.88671875" style="9" customWidth="1"/>
    <col min="17" max="17" width="26.33203125" style="9" customWidth="1"/>
    <col min="18" max="18" width="55.44140625" style="9" customWidth="1"/>
    <col min="19" max="16384" width="9.109375" style="9"/>
  </cols>
  <sheetData>
    <row r="1" spans="1:19" s="26" customFormat="1" ht="60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43" t="s">
        <v>325</v>
      </c>
      <c r="N1" s="543"/>
      <c r="O1" s="543"/>
      <c r="P1" s="543"/>
      <c r="Q1" s="543"/>
    </row>
    <row r="2" spans="1:19" ht="96.75" customHeight="1" x14ac:dyDescent="0.25">
      <c r="A2" s="231"/>
      <c r="B2" s="232"/>
      <c r="C2" s="232"/>
      <c r="D2" s="232"/>
      <c r="E2" s="59"/>
      <c r="F2" s="59"/>
      <c r="G2" s="59"/>
      <c r="H2" s="232"/>
      <c r="I2" s="232"/>
      <c r="J2" s="232"/>
      <c r="K2" s="232"/>
      <c r="L2" s="233"/>
      <c r="M2" s="551" t="s">
        <v>294</v>
      </c>
      <c r="N2" s="551"/>
      <c r="O2" s="551"/>
      <c r="P2" s="552"/>
      <c r="Q2" s="552"/>
      <c r="R2" s="1"/>
    </row>
    <row r="3" spans="1:19" ht="39" customHeight="1" x14ac:dyDescent="0.25">
      <c r="A3" s="553" t="s">
        <v>226</v>
      </c>
      <c r="B3" s="553"/>
      <c r="C3" s="553"/>
      <c r="D3" s="553"/>
      <c r="E3" s="553"/>
      <c r="F3" s="553"/>
      <c r="G3" s="553"/>
      <c r="H3" s="553"/>
      <c r="I3" s="553"/>
      <c r="J3" s="553"/>
      <c r="K3" s="553"/>
      <c r="L3" s="553"/>
      <c r="M3" s="553"/>
      <c r="N3" s="553"/>
      <c r="O3" s="553"/>
      <c r="P3" s="553"/>
      <c r="Q3" s="553"/>
    </row>
    <row r="4" spans="1:19" x14ac:dyDescent="0.25">
      <c r="A4" s="58"/>
      <c r="B4" s="59"/>
      <c r="C4" s="59"/>
      <c r="D4" s="59"/>
      <c r="E4" s="62"/>
      <c r="F4" s="63" t="s">
        <v>29</v>
      </c>
      <c r="G4" s="62">
        <v>4</v>
      </c>
      <c r="H4" s="62"/>
      <c r="I4" s="59"/>
      <c r="J4" s="326"/>
      <c r="K4" s="326"/>
      <c r="L4" s="326"/>
      <c r="M4" s="326"/>
      <c r="N4" s="326"/>
      <c r="O4" s="326"/>
      <c r="P4" s="326"/>
      <c r="Q4" s="59"/>
    </row>
    <row r="5" spans="1:19" ht="18" customHeight="1" x14ac:dyDescent="0.25">
      <c r="A5" s="442" t="s">
        <v>3</v>
      </c>
      <c r="B5" s="443" t="s">
        <v>281</v>
      </c>
      <c r="C5" s="441" t="s">
        <v>228</v>
      </c>
      <c r="D5" s="441" t="s">
        <v>4</v>
      </c>
      <c r="E5" s="441"/>
      <c r="F5" s="441"/>
      <c r="G5" s="441"/>
      <c r="H5" s="441"/>
      <c r="I5" s="441"/>
      <c r="J5" s="516" t="s">
        <v>223</v>
      </c>
      <c r="K5" s="517"/>
      <c r="L5" s="517"/>
      <c r="M5" s="517"/>
      <c r="N5" s="517"/>
      <c r="O5" s="517"/>
      <c r="P5" s="518"/>
      <c r="Q5" s="441" t="s">
        <v>5</v>
      </c>
    </row>
    <row r="6" spans="1:19" ht="83.25" customHeight="1" x14ac:dyDescent="0.25">
      <c r="A6" s="442"/>
      <c r="B6" s="444"/>
      <c r="C6" s="441"/>
      <c r="D6" s="64" t="s">
        <v>6</v>
      </c>
      <c r="E6" s="64" t="s">
        <v>7</v>
      </c>
      <c r="F6" s="437" t="s">
        <v>8</v>
      </c>
      <c r="G6" s="438"/>
      <c r="H6" s="439"/>
      <c r="I6" s="64" t="s">
        <v>9</v>
      </c>
      <c r="J6" s="327" t="s">
        <v>10</v>
      </c>
      <c r="K6" s="327" t="s">
        <v>11</v>
      </c>
      <c r="L6" s="327" t="s">
        <v>12</v>
      </c>
      <c r="M6" s="327" t="s">
        <v>159</v>
      </c>
      <c r="N6" s="327" t="s">
        <v>241</v>
      </c>
      <c r="O6" s="327" t="s">
        <v>289</v>
      </c>
      <c r="P6" s="327" t="s">
        <v>291</v>
      </c>
      <c r="Q6" s="441"/>
    </row>
    <row r="7" spans="1:19" x14ac:dyDescent="0.25">
      <c r="A7" s="103"/>
      <c r="B7" s="522" t="s">
        <v>220</v>
      </c>
      <c r="C7" s="523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  <c r="O7" s="523"/>
      <c r="P7" s="524"/>
      <c r="Q7" s="64"/>
    </row>
    <row r="8" spans="1:19" ht="29.25" customHeight="1" x14ac:dyDescent="0.25">
      <c r="A8" s="199" t="s">
        <v>13</v>
      </c>
      <c r="B8" s="519" t="s">
        <v>55</v>
      </c>
      <c r="C8" s="520"/>
      <c r="D8" s="520"/>
      <c r="E8" s="520"/>
      <c r="F8" s="520"/>
      <c r="G8" s="520"/>
      <c r="H8" s="520"/>
      <c r="I8" s="520"/>
      <c r="J8" s="520"/>
      <c r="K8" s="520"/>
      <c r="L8" s="520"/>
      <c r="M8" s="520"/>
      <c r="N8" s="520"/>
      <c r="O8" s="520"/>
      <c r="P8" s="521"/>
      <c r="Q8" s="200"/>
    </row>
    <row r="9" spans="1:19" ht="83.25" customHeight="1" x14ac:dyDescent="0.25">
      <c r="A9" s="445" t="s">
        <v>30</v>
      </c>
      <c r="B9" s="350" t="s">
        <v>112</v>
      </c>
      <c r="C9" s="350" t="s">
        <v>56</v>
      </c>
      <c r="D9" s="343" t="s">
        <v>74</v>
      </c>
      <c r="E9" s="343" t="s">
        <v>27</v>
      </c>
      <c r="F9" s="162" t="s">
        <v>77</v>
      </c>
      <c r="G9" s="341">
        <v>2</v>
      </c>
      <c r="H9" s="79" t="s">
        <v>243</v>
      </c>
      <c r="I9" s="343" t="s">
        <v>78</v>
      </c>
      <c r="J9" s="81">
        <f>24664296.64-816087.14-125691.96+75619+512753.06+295173.21</f>
        <v>24606062.809999999</v>
      </c>
      <c r="K9" s="96">
        <f>25936164.08+290489.08+3607.73-3357.02-275006.02-1138.65</f>
        <v>25950759.199999999</v>
      </c>
      <c r="L9" s="81">
        <v>27293234.120000001</v>
      </c>
      <c r="M9" s="96">
        <v>27438036.940000001</v>
      </c>
      <c r="N9" s="96">
        <f>M9</f>
        <v>27438036.940000001</v>
      </c>
      <c r="O9" s="96">
        <f>N9</f>
        <v>27438036.940000001</v>
      </c>
      <c r="P9" s="96">
        <f>SUM(J9:O9)</f>
        <v>160164166.94999999</v>
      </c>
      <c r="Q9" s="234" t="s">
        <v>175</v>
      </c>
      <c r="R9" s="28" t="s">
        <v>179</v>
      </c>
      <c r="S9" s="29" t="s">
        <v>182</v>
      </c>
    </row>
    <row r="10" spans="1:19" ht="133.5" customHeight="1" x14ac:dyDescent="0.25">
      <c r="A10" s="550"/>
      <c r="B10" s="350" t="s">
        <v>138</v>
      </c>
      <c r="C10" s="350" t="s">
        <v>56</v>
      </c>
      <c r="D10" s="343" t="s">
        <v>74</v>
      </c>
      <c r="E10" s="343" t="s">
        <v>27</v>
      </c>
      <c r="F10" s="162" t="s">
        <v>77</v>
      </c>
      <c r="G10" s="183" t="s">
        <v>16</v>
      </c>
      <c r="H10" s="79" t="s">
        <v>251</v>
      </c>
      <c r="I10" s="343" t="s">
        <v>78</v>
      </c>
      <c r="J10" s="81">
        <f>572887.62</f>
        <v>572887.62</v>
      </c>
      <c r="K10" s="81">
        <f>330694.5+335701.48+216301.39</f>
        <v>882697.37</v>
      </c>
      <c r="L10" s="81">
        <v>184852.22</v>
      </c>
      <c r="M10" s="96"/>
      <c r="N10" s="96"/>
      <c r="O10" s="96"/>
      <c r="P10" s="96">
        <f t="shared" ref="P10:P14" si="0">SUM(J10:N10)</f>
        <v>1640437.21</v>
      </c>
      <c r="Q10" s="545"/>
    </row>
    <row r="11" spans="1:19" ht="141.75" customHeight="1" x14ac:dyDescent="0.25">
      <c r="A11" s="550"/>
      <c r="B11" s="350" t="s">
        <v>139</v>
      </c>
      <c r="C11" s="350" t="s">
        <v>56</v>
      </c>
      <c r="D11" s="343" t="s">
        <v>74</v>
      </c>
      <c r="E11" s="79" t="s">
        <v>27</v>
      </c>
      <c r="F11" s="183" t="s">
        <v>77</v>
      </c>
      <c r="G11" s="183" t="s">
        <v>16</v>
      </c>
      <c r="H11" s="79" t="s">
        <v>252</v>
      </c>
      <c r="I11" s="79" t="s">
        <v>78</v>
      </c>
      <c r="J11" s="87">
        <f>8160.87</f>
        <v>8160.87</v>
      </c>
      <c r="K11" s="104">
        <f>4420.47+3357.02+1138.65</f>
        <v>8916.14</v>
      </c>
      <c r="L11" s="81">
        <v>1989.78</v>
      </c>
      <c r="M11" s="96"/>
      <c r="N11" s="104"/>
      <c r="O11" s="104"/>
      <c r="P11" s="96">
        <f t="shared" si="0"/>
        <v>19066.789999999997</v>
      </c>
      <c r="Q11" s="545"/>
      <c r="R11" s="9" t="s">
        <v>0</v>
      </c>
    </row>
    <row r="12" spans="1:19" ht="69" customHeight="1" x14ac:dyDescent="0.25">
      <c r="A12" s="550"/>
      <c r="B12" s="350" t="s">
        <v>140</v>
      </c>
      <c r="C12" s="350" t="s">
        <v>56</v>
      </c>
      <c r="D12" s="343" t="s">
        <v>74</v>
      </c>
      <c r="E12" s="79" t="s">
        <v>27</v>
      </c>
      <c r="F12" s="183" t="s">
        <v>77</v>
      </c>
      <c r="G12" s="183" t="s">
        <v>16</v>
      </c>
      <c r="H12" s="79" t="s">
        <v>258</v>
      </c>
      <c r="I12" s="79" t="s">
        <v>78</v>
      </c>
      <c r="J12" s="87">
        <f>125691.96+125691.96+92180</f>
        <v>343563.92000000004</v>
      </c>
      <c r="K12" s="104">
        <f>254815.6+73538</f>
        <v>328353.59999999998</v>
      </c>
      <c r="L12" s="81">
        <v>295385.7</v>
      </c>
      <c r="M12" s="96"/>
      <c r="N12" s="104"/>
      <c r="O12" s="104"/>
      <c r="P12" s="96">
        <f t="shared" si="0"/>
        <v>967303.22</v>
      </c>
      <c r="Q12" s="545"/>
      <c r="R12" s="9" t="s">
        <v>188</v>
      </c>
    </row>
    <row r="13" spans="1:19" ht="78.75" customHeight="1" x14ac:dyDescent="0.25">
      <c r="A13" s="550"/>
      <c r="B13" s="350" t="s">
        <v>113</v>
      </c>
      <c r="C13" s="350" t="s">
        <v>56</v>
      </c>
      <c r="D13" s="92" t="s">
        <v>74</v>
      </c>
      <c r="E13" s="93" t="s">
        <v>27</v>
      </c>
      <c r="F13" s="94" t="s">
        <v>77</v>
      </c>
      <c r="G13" s="94" t="s">
        <v>16</v>
      </c>
      <c r="H13" s="93" t="s">
        <v>246</v>
      </c>
      <c r="I13" s="93" t="s">
        <v>80</v>
      </c>
      <c r="J13" s="87">
        <f>200000+300000+15000</f>
        <v>515000</v>
      </c>
      <c r="K13" s="104">
        <v>0</v>
      </c>
      <c r="L13" s="81">
        <v>0</v>
      </c>
      <c r="M13" s="96"/>
      <c r="N13" s="104"/>
      <c r="O13" s="104"/>
      <c r="P13" s="96">
        <f t="shared" si="0"/>
        <v>515000</v>
      </c>
      <c r="Q13" s="235"/>
      <c r="R13" s="9" t="s">
        <v>0</v>
      </c>
    </row>
    <row r="14" spans="1:19" ht="159" customHeight="1" x14ac:dyDescent="0.25">
      <c r="A14" s="446"/>
      <c r="B14" s="350" t="s">
        <v>123</v>
      </c>
      <c r="C14" s="350" t="s">
        <v>56</v>
      </c>
      <c r="D14" s="92" t="s">
        <v>74</v>
      </c>
      <c r="E14" s="93" t="s">
        <v>27</v>
      </c>
      <c r="F14" s="94" t="s">
        <v>77</v>
      </c>
      <c r="G14" s="94" t="s">
        <v>16</v>
      </c>
      <c r="H14" s="93" t="s">
        <v>259</v>
      </c>
      <c r="I14" s="93" t="s">
        <v>80</v>
      </c>
      <c r="J14" s="87">
        <v>0</v>
      </c>
      <c r="K14" s="104"/>
      <c r="L14" s="81">
        <v>0</v>
      </c>
      <c r="M14" s="96"/>
      <c r="N14" s="104"/>
      <c r="O14" s="104"/>
      <c r="P14" s="96">
        <f t="shared" si="0"/>
        <v>0</v>
      </c>
      <c r="Q14" s="354"/>
    </row>
    <row r="15" spans="1:19" ht="88.5" customHeight="1" x14ac:dyDescent="0.25">
      <c r="A15" s="445" t="s">
        <v>14</v>
      </c>
      <c r="B15" s="125" t="s">
        <v>111</v>
      </c>
      <c r="C15" s="125" t="s">
        <v>56</v>
      </c>
      <c r="D15" s="103" t="s">
        <v>74</v>
      </c>
      <c r="E15" s="103" t="s">
        <v>27</v>
      </c>
      <c r="F15" s="162" t="s">
        <v>77</v>
      </c>
      <c r="G15" s="183" t="s">
        <v>16</v>
      </c>
      <c r="H15" s="79" t="s">
        <v>243</v>
      </c>
      <c r="I15" s="103" t="s">
        <v>78</v>
      </c>
      <c r="J15" s="81">
        <f>4533475.22-81949.75+58744+44160.6+36969.65+373.44</f>
        <v>4591773.16</v>
      </c>
      <c r="K15" s="96">
        <f>4741057.86-49476.6-3607.73-272.19-51942.99-30</f>
        <v>4635728.3499999996</v>
      </c>
      <c r="L15" s="81">
        <v>4787389.63</v>
      </c>
      <c r="M15" s="96">
        <v>4801089.71</v>
      </c>
      <c r="N15" s="96">
        <f>M15</f>
        <v>4801089.71</v>
      </c>
      <c r="O15" s="96">
        <f>N15</f>
        <v>4801089.71</v>
      </c>
      <c r="P15" s="96">
        <f>SUM(J15:O15)</f>
        <v>28418160.270000003</v>
      </c>
      <c r="Q15" s="547" t="s">
        <v>85</v>
      </c>
      <c r="R15" s="9" t="s">
        <v>186</v>
      </c>
    </row>
    <row r="16" spans="1:19" ht="138" customHeight="1" x14ac:dyDescent="0.25">
      <c r="A16" s="550"/>
      <c r="B16" s="125" t="s">
        <v>138</v>
      </c>
      <c r="C16" s="126" t="s">
        <v>56</v>
      </c>
      <c r="D16" s="100" t="s">
        <v>74</v>
      </c>
      <c r="E16" s="100" t="s">
        <v>27</v>
      </c>
      <c r="F16" s="101" t="s">
        <v>77</v>
      </c>
      <c r="G16" s="101" t="s">
        <v>16</v>
      </c>
      <c r="H16" s="100" t="s">
        <v>251</v>
      </c>
      <c r="I16" s="100" t="s">
        <v>78</v>
      </c>
      <c r="J16" s="81">
        <f>81130.25-36969.65</f>
        <v>44160.6</v>
      </c>
      <c r="K16" s="237">
        <f>27180.37+27219.04+13920.3</f>
        <v>68319.710000000006</v>
      </c>
      <c r="L16" s="81">
        <v>16169.92</v>
      </c>
      <c r="M16" s="96"/>
      <c r="N16" s="96"/>
      <c r="O16" s="96"/>
      <c r="P16" s="104">
        <f>J16+K16+L16+M16+N16</f>
        <v>128650.23</v>
      </c>
      <c r="Q16" s="548"/>
    </row>
    <row r="17" spans="1:18" ht="164.25" customHeight="1" x14ac:dyDescent="0.25">
      <c r="A17" s="550"/>
      <c r="B17" s="125" t="s">
        <v>139</v>
      </c>
      <c r="C17" s="126" t="s">
        <v>56</v>
      </c>
      <c r="D17" s="100" t="s">
        <v>74</v>
      </c>
      <c r="E17" s="100" t="s">
        <v>27</v>
      </c>
      <c r="F17" s="101" t="s">
        <v>77</v>
      </c>
      <c r="G17" s="101" t="s">
        <v>16</v>
      </c>
      <c r="H17" s="100" t="s">
        <v>252</v>
      </c>
      <c r="I17" s="100" t="s">
        <v>78</v>
      </c>
      <c r="J17" s="87">
        <f>446.06</f>
        <v>446.06</v>
      </c>
      <c r="K17" s="104">
        <f>443.89+272.19+30</f>
        <v>746.07999999999993</v>
      </c>
      <c r="L17" s="81">
        <v>175.92</v>
      </c>
      <c r="M17" s="96"/>
      <c r="N17" s="104"/>
      <c r="O17" s="104"/>
      <c r="P17" s="104">
        <f t="shared" ref="P17:P18" si="1">J17+K17+L17+M17</f>
        <v>1368.06</v>
      </c>
      <c r="Q17" s="549"/>
    </row>
    <row r="18" spans="1:18" s="51" customFormat="1" ht="164.25" customHeight="1" x14ac:dyDescent="0.25">
      <c r="A18" s="550"/>
      <c r="B18" s="125" t="s">
        <v>140</v>
      </c>
      <c r="C18" s="126" t="s">
        <v>56</v>
      </c>
      <c r="D18" s="100" t="s">
        <v>74</v>
      </c>
      <c r="E18" s="100" t="s">
        <v>27</v>
      </c>
      <c r="F18" s="101" t="s">
        <v>77</v>
      </c>
      <c r="G18" s="101" t="s">
        <v>16</v>
      </c>
      <c r="H18" s="100" t="s">
        <v>258</v>
      </c>
      <c r="I18" s="100" t="s">
        <v>78</v>
      </c>
      <c r="J18" s="87"/>
      <c r="K18" s="104"/>
      <c r="L18" s="96">
        <v>36824.68</v>
      </c>
      <c r="M18" s="96"/>
      <c r="N18" s="104"/>
      <c r="O18" s="104"/>
      <c r="P18" s="104">
        <f t="shared" si="1"/>
        <v>36824.68</v>
      </c>
      <c r="Q18" s="127"/>
    </row>
    <row r="19" spans="1:18" ht="87.75" customHeight="1" x14ac:dyDescent="0.25">
      <c r="A19" s="446"/>
      <c r="B19" s="126" t="s">
        <v>113</v>
      </c>
      <c r="C19" s="126" t="s">
        <v>56</v>
      </c>
      <c r="D19" s="238" t="s">
        <v>74</v>
      </c>
      <c r="E19" s="239" t="s">
        <v>27</v>
      </c>
      <c r="F19" s="240" t="s">
        <v>77</v>
      </c>
      <c r="G19" s="240" t="s">
        <v>16</v>
      </c>
      <c r="H19" s="239" t="s">
        <v>246</v>
      </c>
      <c r="I19" s="239" t="s">
        <v>80</v>
      </c>
      <c r="J19" s="87">
        <v>7000</v>
      </c>
      <c r="K19" s="104">
        <v>0</v>
      </c>
      <c r="L19" s="81">
        <v>0</v>
      </c>
      <c r="M19" s="96"/>
      <c r="N19" s="104"/>
      <c r="O19" s="104"/>
      <c r="P19" s="104">
        <f t="shared" ref="P19:P21" si="2">SUM(J19:M19)</f>
        <v>7000</v>
      </c>
      <c r="Q19" s="127"/>
    </row>
    <row r="20" spans="1:18" ht="122.25" customHeight="1" x14ac:dyDescent="0.25">
      <c r="A20" s="103" t="s">
        <v>57</v>
      </c>
      <c r="B20" s="106" t="s">
        <v>58</v>
      </c>
      <c r="C20" s="125" t="s">
        <v>56</v>
      </c>
      <c r="D20" s="103"/>
      <c r="E20" s="103"/>
      <c r="F20" s="162"/>
      <c r="G20" s="183"/>
      <c r="H20" s="79"/>
      <c r="I20" s="103"/>
      <c r="J20" s="87"/>
      <c r="K20" s="104"/>
      <c r="L20" s="81"/>
      <c r="M20" s="96"/>
      <c r="N20" s="104"/>
      <c r="O20" s="104"/>
      <c r="P20" s="104">
        <f t="shared" si="2"/>
        <v>0</v>
      </c>
      <c r="Q20" s="241" t="s">
        <v>86</v>
      </c>
    </row>
    <row r="21" spans="1:18" ht="173.25" customHeight="1" x14ac:dyDescent="0.25">
      <c r="A21" s="103" t="s">
        <v>103</v>
      </c>
      <c r="B21" s="242" t="s">
        <v>153</v>
      </c>
      <c r="C21" s="125" t="s">
        <v>56</v>
      </c>
      <c r="D21" s="238" t="s">
        <v>74</v>
      </c>
      <c r="E21" s="239" t="s">
        <v>27</v>
      </c>
      <c r="F21" s="240" t="s">
        <v>77</v>
      </c>
      <c r="G21" s="240" t="s">
        <v>16</v>
      </c>
      <c r="H21" s="239" t="s">
        <v>260</v>
      </c>
      <c r="I21" s="239" t="s">
        <v>80</v>
      </c>
      <c r="J21" s="87">
        <v>6181600</v>
      </c>
      <c r="K21" s="104">
        <v>0</v>
      </c>
      <c r="L21" s="81">
        <v>0</v>
      </c>
      <c r="M21" s="96"/>
      <c r="N21" s="104"/>
      <c r="O21" s="104"/>
      <c r="P21" s="104">
        <f t="shared" si="2"/>
        <v>6181600</v>
      </c>
      <c r="Q21" s="241" t="s">
        <v>154</v>
      </c>
      <c r="R21" s="9" t="s">
        <v>0</v>
      </c>
    </row>
    <row r="22" spans="1:18" s="23" customFormat="1" ht="44.25" customHeight="1" x14ac:dyDescent="0.25">
      <c r="A22" s="445" t="s">
        <v>160</v>
      </c>
      <c r="B22" s="561" t="s">
        <v>171</v>
      </c>
      <c r="C22" s="125" t="s">
        <v>56</v>
      </c>
      <c r="D22" s="238" t="s">
        <v>74</v>
      </c>
      <c r="E22" s="239" t="s">
        <v>27</v>
      </c>
      <c r="F22" s="240" t="s">
        <v>77</v>
      </c>
      <c r="G22" s="240" t="s">
        <v>16</v>
      </c>
      <c r="H22" s="238" t="s">
        <v>254</v>
      </c>
      <c r="I22" s="239" t="s">
        <v>78</v>
      </c>
      <c r="J22" s="87">
        <v>2920.72</v>
      </c>
      <c r="K22" s="104"/>
      <c r="L22" s="81"/>
      <c r="M22" s="96"/>
      <c r="N22" s="104"/>
      <c r="O22" s="104"/>
      <c r="P22" s="104">
        <f>J22+K22+L22+M22</f>
        <v>2920.72</v>
      </c>
      <c r="Q22" s="241"/>
    </row>
    <row r="23" spans="1:18" s="23" customFormat="1" ht="84.75" customHeight="1" x14ac:dyDescent="0.25">
      <c r="A23" s="446"/>
      <c r="B23" s="562"/>
      <c r="C23" s="125" t="s">
        <v>56</v>
      </c>
      <c r="D23" s="238" t="s">
        <v>74</v>
      </c>
      <c r="E23" s="239" t="s">
        <v>27</v>
      </c>
      <c r="F23" s="240" t="s">
        <v>77</v>
      </c>
      <c r="G23" s="240" t="s">
        <v>16</v>
      </c>
      <c r="H23" s="239" t="s">
        <v>254</v>
      </c>
      <c r="I23" s="239" t="s">
        <v>78</v>
      </c>
      <c r="J23" s="87">
        <v>42334.71</v>
      </c>
      <c r="K23" s="104"/>
      <c r="L23" s="81"/>
      <c r="M23" s="96"/>
      <c r="N23" s="104"/>
      <c r="O23" s="104"/>
      <c r="P23" s="104">
        <f>J23+K23+L23+M23</f>
        <v>42334.71</v>
      </c>
      <c r="Q23" s="241"/>
    </row>
    <row r="24" spans="1:18" ht="29.25" customHeight="1" x14ac:dyDescent="0.25">
      <c r="A24" s="243"/>
      <c r="B24" s="244" t="s">
        <v>15</v>
      </c>
      <c r="C24" s="245"/>
      <c r="D24" s="244"/>
      <c r="E24" s="244"/>
      <c r="F24" s="246"/>
      <c r="G24" s="247"/>
      <c r="H24" s="248"/>
      <c r="I24" s="244"/>
      <c r="J24" s="249">
        <f>SUM(J9:J23)</f>
        <v>36915910.470000006</v>
      </c>
      <c r="K24" s="249">
        <f>SUM(K9:K23)</f>
        <v>31875520.450000003</v>
      </c>
      <c r="L24" s="249">
        <f>SUM(L9:L21)</f>
        <v>32616021.970000003</v>
      </c>
      <c r="M24" s="249">
        <f>SUM(M9:M21)</f>
        <v>32239126.650000002</v>
      </c>
      <c r="N24" s="249">
        <f>SUM(N9:N21)</f>
        <v>32239126.650000002</v>
      </c>
      <c r="O24" s="249">
        <f>SUM(O9:O21)</f>
        <v>32239126.650000002</v>
      </c>
      <c r="P24" s="249">
        <f>J24+K24+L24+M24+N24+O24</f>
        <v>198124832.84000003</v>
      </c>
      <c r="Q24" s="245"/>
      <c r="R24" s="8"/>
    </row>
    <row r="25" spans="1:18" ht="27" customHeight="1" x14ac:dyDescent="0.25">
      <c r="A25" s="199" t="s">
        <v>16</v>
      </c>
      <c r="B25" s="519" t="s">
        <v>59</v>
      </c>
      <c r="C25" s="520"/>
      <c r="D25" s="520"/>
      <c r="E25" s="520"/>
      <c r="F25" s="520"/>
      <c r="G25" s="520"/>
      <c r="H25" s="520"/>
      <c r="I25" s="520"/>
      <c r="J25" s="520"/>
      <c r="K25" s="520"/>
      <c r="L25" s="520"/>
      <c r="M25" s="520"/>
      <c r="N25" s="520"/>
      <c r="O25" s="520"/>
      <c r="P25" s="521"/>
      <c r="Q25" s="250"/>
    </row>
    <row r="26" spans="1:18" ht="44.25" customHeight="1" x14ac:dyDescent="0.3">
      <c r="A26" s="445" t="s">
        <v>17</v>
      </c>
      <c r="B26" s="527" t="s">
        <v>124</v>
      </c>
      <c r="C26" s="106" t="s">
        <v>56</v>
      </c>
      <c r="D26" s="99" t="s">
        <v>74</v>
      </c>
      <c r="E26" s="100" t="s">
        <v>27</v>
      </c>
      <c r="F26" s="101" t="s">
        <v>77</v>
      </c>
      <c r="G26" s="101" t="s">
        <v>16</v>
      </c>
      <c r="H26" s="111" t="s">
        <v>261</v>
      </c>
      <c r="I26" s="103" t="s">
        <v>80</v>
      </c>
      <c r="J26" s="135">
        <f>12000</f>
        <v>12000</v>
      </c>
      <c r="K26" s="136">
        <v>0</v>
      </c>
      <c r="L26" s="133">
        <v>0</v>
      </c>
      <c r="M26" s="304"/>
      <c r="N26" s="136"/>
      <c r="O26" s="136"/>
      <c r="P26" s="136">
        <f t="shared" ref="P26:P33" si="3">SUM(J26:M26)</f>
        <v>12000</v>
      </c>
      <c r="Q26" s="544" t="s">
        <v>87</v>
      </c>
      <c r="R26" s="15" t="s">
        <v>0</v>
      </c>
    </row>
    <row r="27" spans="1:18" ht="44.25" customHeight="1" x14ac:dyDescent="0.3">
      <c r="A27" s="550"/>
      <c r="B27" s="563"/>
      <c r="C27" s="106" t="s">
        <v>56</v>
      </c>
      <c r="D27" s="99" t="s">
        <v>74</v>
      </c>
      <c r="E27" s="100" t="s">
        <v>27</v>
      </c>
      <c r="F27" s="101" t="s">
        <v>77</v>
      </c>
      <c r="G27" s="101" t="s">
        <v>16</v>
      </c>
      <c r="H27" s="111" t="s">
        <v>261</v>
      </c>
      <c r="I27" s="103" t="s">
        <v>80</v>
      </c>
      <c r="J27" s="135">
        <f>3400</f>
        <v>3400</v>
      </c>
      <c r="K27" s="136">
        <v>0</v>
      </c>
      <c r="L27" s="133"/>
      <c r="M27" s="304"/>
      <c r="N27" s="136"/>
      <c r="O27" s="136"/>
      <c r="P27" s="136">
        <f t="shared" si="3"/>
        <v>3400</v>
      </c>
      <c r="Q27" s="545"/>
      <c r="R27" s="15" t="s">
        <v>148</v>
      </c>
    </row>
    <row r="28" spans="1:18" ht="37.5" customHeight="1" x14ac:dyDescent="0.3">
      <c r="A28" s="446"/>
      <c r="B28" s="528"/>
      <c r="C28" s="106" t="s">
        <v>56</v>
      </c>
      <c r="D28" s="99" t="s">
        <v>74</v>
      </c>
      <c r="E28" s="100" t="s">
        <v>75</v>
      </c>
      <c r="F28" s="101" t="s">
        <v>77</v>
      </c>
      <c r="G28" s="101" t="s">
        <v>16</v>
      </c>
      <c r="H28" s="111" t="s">
        <v>261</v>
      </c>
      <c r="I28" s="103" t="s">
        <v>80</v>
      </c>
      <c r="J28" s="135">
        <f>18200</f>
        <v>18200</v>
      </c>
      <c r="K28" s="136"/>
      <c r="L28" s="133"/>
      <c r="M28" s="304"/>
      <c r="N28" s="136"/>
      <c r="O28" s="136"/>
      <c r="P28" s="136">
        <f t="shared" si="3"/>
        <v>18200</v>
      </c>
      <c r="Q28" s="546"/>
      <c r="R28" s="16" t="s">
        <v>104</v>
      </c>
    </row>
    <row r="29" spans="1:18" ht="37.5" customHeight="1" x14ac:dyDescent="0.3">
      <c r="A29" s="445" t="s">
        <v>72</v>
      </c>
      <c r="B29" s="527" t="s">
        <v>151</v>
      </c>
      <c r="C29" s="106" t="s">
        <v>56</v>
      </c>
      <c r="D29" s="99" t="s">
        <v>74</v>
      </c>
      <c r="E29" s="100" t="s">
        <v>27</v>
      </c>
      <c r="F29" s="101" t="s">
        <v>77</v>
      </c>
      <c r="G29" s="101" t="s">
        <v>16</v>
      </c>
      <c r="H29" s="111" t="s">
        <v>262</v>
      </c>
      <c r="I29" s="103" t="s">
        <v>80</v>
      </c>
      <c r="J29" s="135">
        <f>1200000</f>
        <v>1200000</v>
      </c>
      <c r="K29" s="136">
        <v>200000</v>
      </c>
      <c r="L29" s="133">
        <v>350000</v>
      </c>
      <c r="M29" s="304"/>
      <c r="N29" s="136"/>
      <c r="O29" s="136"/>
      <c r="P29" s="136">
        <f t="shared" si="3"/>
        <v>1750000</v>
      </c>
      <c r="Q29" s="544" t="s">
        <v>87</v>
      </c>
      <c r="R29" s="16" t="s">
        <v>210</v>
      </c>
    </row>
    <row r="30" spans="1:18" ht="37.5" customHeight="1" x14ac:dyDescent="0.3">
      <c r="A30" s="550"/>
      <c r="B30" s="563"/>
      <c r="C30" s="106" t="s">
        <v>56</v>
      </c>
      <c r="D30" s="99" t="s">
        <v>74</v>
      </c>
      <c r="E30" s="100" t="s">
        <v>27</v>
      </c>
      <c r="F30" s="101" t="s">
        <v>77</v>
      </c>
      <c r="G30" s="101" t="s">
        <v>16</v>
      </c>
      <c r="H30" s="111" t="s">
        <v>262</v>
      </c>
      <c r="I30" s="103" t="s">
        <v>80</v>
      </c>
      <c r="J30" s="135">
        <f>340000</f>
        <v>340000</v>
      </c>
      <c r="K30" s="136">
        <v>0</v>
      </c>
      <c r="L30" s="133"/>
      <c r="M30" s="304"/>
      <c r="N30" s="136"/>
      <c r="O30" s="136"/>
      <c r="P30" s="136">
        <f t="shared" si="3"/>
        <v>340000</v>
      </c>
      <c r="Q30" s="545"/>
      <c r="R30" s="16"/>
    </row>
    <row r="31" spans="1:18" ht="54.75" customHeight="1" x14ac:dyDescent="0.3">
      <c r="A31" s="550"/>
      <c r="B31" s="563"/>
      <c r="C31" s="106" t="s">
        <v>56</v>
      </c>
      <c r="D31" s="99" t="s">
        <v>74</v>
      </c>
      <c r="E31" s="100" t="s">
        <v>75</v>
      </c>
      <c r="F31" s="101" t="s">
        <v>77</v>
      </c>
      <c r="G31" s="101" t="s">
        <v>16</v>
      </c>
      <c r="H31" s="111" t="s">
        <v>262</v>
      </c>
      <c r="I31" s="103" t="s">
        <v>80</v>
      </c>
      <c r="J31" s="135">
        <f>320000</f>
        <v>320000</v>
      </c>
      <c r="K31" s="136"/>
      <c r="L31" s="133">
        <v>200000</v>
      </c>
      <c r="M31" s="304"/>
      <c r="N31" s="136"/>
      <c r="O31" s="136"/>
      <c r="P31" s="136">
        <f t="shared" si="3"/>
        <v>520000</v>
      </c>
      <c r="Q31" s="546"/>
      <c r="R31" s="16"/>
    </row>
    <row r="32" spans="1:18" s="50" customFormat="1" ht="65.25" customHeight="1" x14ac:dyDescent="0.3">
      <c r="A32" s="446"/>
      <c r="B32" s="528"/>
      <c r="C32" s="106" t="s">
        <v>56</v>
      </c>
      <c r="D32" s="99" t="s">
        <v>74</v>
      </c>
      <c r="E32" s="100" t="s">
        <v>27</v>
      </c>
      <c r="F32" s="101" t="s">
        <v>77</v>
      </c>
      <c r="G32" s="101" t="s">
        <v>16</v>
      </c>
      <c r="H32" s="111" t="s">
        <v>262</v>
      </c>
      <c r="I32" s="103" t="s">
        <v>28</v>
      </c>
      <c r="J32" s="135"/>
      <c r="K32" s="136"/>
      <c r="L32" s="304">
        <v>208000</v>
      </c>
      <c r="M32" s="304"/>
      <c r="N32" s="136"/>
      <c r="O32" s="136"/>
      <c r="P32" s="136">
        <f t="shared" si="3"/>
        <v>208000</v>
      </c>
      <c r="Q32" s="236"/>
      <c r="R32" s="16"/>
    </row>
    <row r="33" spans="1:20" s="33" customFormat="1" ht="98.25" customHeight="1" x14ac:dyDescent="0.3">
      <c r="A33" s="445" t="s">
        <v>73</v>
      </c>
      <c r="B33" s="558" t="s">
        <v>211</v>
      </c>
      <c r="C33" s="137" t="s">
        <v>56</v>
      </c>
      <c r="D33" s="138" t="s">
        <v>74</v>
      </c>
      <c r="E33" s="139" t="s">
        <v>27</v>
      </c>
      <c r="F33" s="140" t="s">
        <v>77</v>
      </c>
      <c r="G33" s="140" t="s">
        <v>16</v>
      </c>
      <c r="H33" s="141" t="s">
        <v>261</v>
      </c>
      <c r="I33" s="142" t="s">
        <v>80</v>
      </c>
      <c r="J33" s="251"/>
      <c r="K33" s="251">
        <v>2000</v>
      </c>
      <c r="L33" s="133">
        <f>3500+2100+1600</f>
        <v>7200</v>
      </c>
      <c r="M33" s="330"/>
      <c r="N33" s="251"/>
      <c r="O33" s="251"/>
      <c r="P33" s="251">
        <f t="shared" si="3"/>
        <v>9200</v>
      </c>
      <c r="Q33" s="252"/>
      <c r="R33" s="16" t="s">
        <v>212</v>
      </c>
    </row>
    <row r="34" spans="1:20" s="50" customFormat="1" ht="80.25" customHeight="1" x14ac:dyDescent="0.3">
      <c r="A34" s="550"/>
      <c r="B34" s="559"/>
      <c r="C34" s="143" t="s">
        <v>56</v>
      </c>
      <c r="D34" s="138" t="s">
        <v>74</v>
      </c>
      <c r="E34" s="139" t="s">
        <v>75</v>
      </c>
      <c r="F34" s="253" t="s">
        <v>77</v>
      </c>
      <c r="G34" s="140" t="s">
        <v>16</v>
      </c>
      <c r="H34" s="141" t="s">
        <v>261</v>
      </c>
      <c r="I34" s="142" t="s">
        <v>80</v>
      </c>
      <c r="J34" s="251"/>
      <c r="K34" s="251"/>
      <c r="L34" s="133">
        <f>2000+2100</f>
        <v>4100</v>
      </c>
      <c r="M34" s="330"/>
      <c r="N34" s="251"/>
      <c r="O34" s="251"/>
      <c r="P34" s="251">
        <f>L34</f>
        <v>4100</v>
      </c>
      <c r="Q34" s="252"/>
      <c r="R34" s="16"/>
    </row>
    <row r="35" spans="1:20" s="49" customFormat="1" ht="78.75" customHeight="1" x14ac:dyDescent="0.3">
      <c r="A35" s="446"/>
      <c r="B35" s="560"/>
      <c r="C35" s="143" t="s">
        <v>56</v>
      </c>
      <c r="D35" s="144" t="s">
        <v>74</v>
      </c>
      <c r="E35" s="145" t="s">
        <v>27</v>
      </c>
      <c r="F35" s="145" t="s">
        <v>77</v>
      </c>
      <c r="G35" s="146" t="s">
        <v>16</v>
      </c>
      <c r="H35" s="147" t="s">
        <v>261</v>
      </c>
      <c r="I35" s="148" t="s">
        <v>28</v>
      </c>
      <c r="J35" s="143"/>
      <c r="K35" s="143"/>
      <c r="L35" s="308">
        <f>4206+94</f>
        <v>4300</v>
      </c>
      <c r="M35" s="308"/>
      <c r="N35" s="143"/>
      <c r="O35" s="143"/>
      <c r="P35" s="143">
        <f>L35</f>
        <v>4300</v>
      </c>
      <c r="Q35" s="252"/>
      <c r="R35" s="16"/>
    </row>
    <row r="36" spans="1:20" ht="30.75" customHeight="1" x14ac:dyDescent="0.25">
      <c r="A36" s="243"/>
      <c r="B36" s="244" t="s">
        <v>18</v>
      </c>
      <c r="C36" s="245"/>
      <c r="D36" s="244"/>
      <c r="E36" s="244"/>
      <c r="F36" s="254"/>
      <c r="G36" s="255"/>
      <c r="H36" s="256"/>
      <c r="I36" s="244"/>
      <c r="J36" s="257">
        <f>SUM(J26:J31)</f>
        <v>1893600</v>
      </c>
      <c r="K36" s="257">
        <f>SUM(K26:K33)</f>
        <v>202000</v>
      </c>
      <c r="L36" s="257">
        <f>L29+L30+L31+L32+L33+L34+L35</f>
        <v>773600</v>
      </c>
      <c r="M36" s="257">
        <f>SUM(M26:M28)</f>
        <v>0</v>
      </c>
      <c r="N36" s="257">
        <f>SUM(N26:N28)</f>
        <v>0</v>
      </c>
      <c r="O36" s="257">
        <f>SUM(O26:O28)</f>
        <v>0</v>
      </c>
      <c r="P36" s="257">
        <f>SUM(P26:P35)</f>
        <v>2869200</v>
      </c>
      <c r="Q36" s="245"/>
      <c r="R36" s="8"/>
    </row>
    <row r="37" spans="1:20" ht="23.25" customHeight="1" x14ac:dyDescent="0.25">
      <c r="A37" s="199" t="s">
        <v>19</v>
      </c>
      <c r="B37" s="519" t="s">
        <v>221</v>
      </c>
      <c r="C37" s="520"/>
      <c r="D37" s="520"/>
      <c r="E37" s="520"/>
      <c r="F37" s="520"/>
      <c r="G37" s="520"/>
      <c r="H37" s="520"/>
      <c r="I37" s="520"/>
      <c r="J37" s="520"/>
      <c r="K37" s="520"/>
      <c r="L37" s="520"/>
      <c r="M37" s="520"/>
      <c r="N37" s="520"/>
      <c r="O37" s="520"/>
      <c r="P37" s="521"/>
      <c r="Q37" s="250"/>
    </row>
    <row r="38" spans="1:20" ht="54" customHeight="1" x14ac:dyDescent="0.3">
      <c r="A38" s="445" t="s">
        <v>173</v>
      </c>
      <c r="B38" s="527" t="s">
        <v>60</v>
      </c>
      <c r="C38" s="351" t="s">
        <v>56</v>
      </c>
      <c r="D38" s="99" t="s">
        <v>74</v>
      </c>
      <c r="E38" s="100" t="s">
        <v>27</v>
      </c>
      <c r="F38" s="101" t="s">
        <v>77</v>
      </c>
      <c r="G38" s="101" t="s">
        <v>16</v>
      </c>
      <c r="H38" s="86" t="s">
        <v>247</v>
      </c>
      <c r="I38" s="343" t="s">
        <v>28</v>
      </c>
      <c r="J38" s="87">
        <v>2126280</v>
      </c>
      <c r="K38" s="104"/>
      <c r="L38" s="104"/>
      <c r="M38" s="96"/>
      <c r="N38" s="104"/>
      <c r="O38" s="104"/>
      <c r="P38" s="104">
        <f>SUM(J38:M38)</f>
        <v>2126280</v>
      </c>
      <c r="Q38" s="547"/>
      <c r="R38" s="19"/>
      <c r="S38" s="20"/>
      <c r="T38" s="20"/>
    </row>
    <row r="39" spans="1:20" s="24" customFormat="1" ht="51" customHeight="1" x14ac:dyDescent="0.3">
      <c r="A39" s="556"/>
      <c r="B39" s="556"/>
      <c r="C39" s="351" t="s">
        <v>56</v>
      </c>
      <c r="D39" s="99" t="s">
        <v>74</v>
      </c>
      <c r="E39" s="100" t="s">
        <v>27</v>
      </c>
      <c r="F39" s="101" t="s">
        <v>77</v>
      </c>
      <c r="G39" s="101" t="s">
        <v>16</v>
      </c>
      <c r="H39" s="86" t="s">
        <v>247</v>
      </c>
      <c r="I39" s="343" t="s">
        <v>28</v>
      </c>
      <c r="J39" s="87">
        <v>662220</v>
      </c>
      <c r="K39" s="104">
        <f>345000+65100+10000</f>
        <v>420100</v>
      </c>
      <c r="L39" s="104">
        <f>75500+30000-250+30000+30000+20000</f>
        <v>185250</v>
      </c>
      <c r="M39" s="96">
        <f>120000+59750</f>
        <v>179750</v>
      </c>
      <c r="N39" s="104">
        <f>120000+59750</f>
        <v>179750</v>
      </c>
      <c r="O39" s="104">
        <f>120000+59750</f>
        <v>179750</v>
      </c>
      <c r="P39" s="104">
        <f>SUM(J39:O39)</f>
        <v>1806820</v>
      </c>
      <c r="Q39" s="548"/>
      <c r="R39" s="31" t="s">
        <v>185</v>
      </c>
      <c r="S39" s="25"/>
      <c r="T39" s="25"/>
    </row>
    <row r="40" spans="1:20" ht="38.25" customHeight="1" x14ac:dyDescent="0.3">
      <c r="A40" s="556"/>
      <c r="B40" s="556"/>
      <c r="C40" s="351" t="s">
        <v>56</v>
      </c>
      <c r="D40" s="343" t="s">
        <v>74</v>
      </c>
      <c r="E40" s="343" t="s">
        <v>75</v>
      </c>
      <c r="F40" s="162" t="s">
        <v>77</v>
      </c>
      <c r="G40" s="183" t="s">
        <v>16</v>
      </c>
      <c r="H40" s="86" t="s">
        <v>247</v>
      </c>
      <c r="I40" s="343" t="s">
        <v>80</v>
      </c>
      <c r="J40" s="87">
        <v>18500</v>
      </c>
      <c r="K40" s="104">
        <f>20000-2050</f>
        <v>17950</v>
      </c>
      <c r="L40" s="81">
        <f>20000-2000-2100-721.7</f>
        <v>15178.3</v>
      </c>
      <c r="M40" s="96">
        <v>20000</v>
      </c>
      <c r="N40" s="104">
        <v>20000</v>
      </c>
      <c r="O40" s="104">
        <v>20000</v>
      </c>
      <c r="P40" s="104">
        <f>SUM(J40:O40)</f>
        <v>111628.3</v>
      </c>
      <c r="Q40" s="548"/>
      <c r="R40" s="34" t="s">
        <v>208</v>
      </c>
      <c r="S40" s="21"/>
      <c r="T40" s="21"/>
    </row>
    <row r="41" spans="1:20" ht="43.5" customHeight="1" x14ac:dyDescent="0.3">
      <c r="A41" s="556"/>
      <c r="B41" s="556"/>
      <c r="C41" s="351" t="s">
        <v>56</v>
      </c>
      <c r="D41" s="99" t="s">
        <v>74</v>
      </c>
      <c r="E41" s="100" t="s">
        <v>27</v>
      </c>
      <c r="F41" s="101" t="s">
        <v>77</v>
      </c>
      <c r="G41" s="101" t="s">
        <v>16</v>
      </c>
      <c r="H41" s="86" t="s">
        <v>247</v>
      </c>
      <c r="I41" s="343" t="s">
        <v>80</v>
      </c>
      <c r="J41" s="87"/>
      <c r="K41" s="104">
        <f>537000+103000+110000+988454-80000-37559</f>
        <v>1620895</v>
      </c>
      <c r="L41" s="81">
        <v>1482800</v>
      </c>
      <c r="M41" s="96">
        <f>1067000+103000+110000-13300</f>
        <v>1266700</v>
      </c>
      <c r="N41" s="104">
        <f>M41+13300</f>
        <v>1280000</v>
      </c>
      <c r="O41" s="104">
        <f>N41</f>
        <v>1280000</v>
      </c>
      <c r="P41" s="104">
        <f>J41+K41+L41+M41+N41+O41</f>
        <v>6930395</v>
      </c>
      <c r="Q41" s="548"/>
      <c r="R41" s="34" t="s">
        <v>209</v>
      </c>
      <c r="S41" s="21"/>
      <c r="T41" s="21"/>
    </row>
    <row r="42" spans="1:20" ht="38.25" hidden="1" customHeight="1" x14ac:dyDescent="0.3">
      <c r="A42" s="556"/>
      <c r="B42" s="556"/>
      <c r="C42" s="351" t="s">
        <v>162</v>
      </c>
      <c r="D42" s="343" t="s">
        <v>74</v>
      </c>
      <c r="E42" s="343" t="s">
        <v>27</v>
      </c>
      <c r="F42" s="162" t="s">
        <v>77</v>
      </c>
      <c r="G42" s="183" t="s">
        <v>16</v>
      </c>
      <c r="H42" s="79" t="s">
        <v>99</v>
      </c>
      <c r="I42" s="343" t="s">
        <v>80</v>
      </c>
      <c r="J42" s="87">
        <v>0</v>
      </c>
      <c r="K42" s="104">
        <f>15000+10000+20000+20000+10000+33000+10000+15000+869000+10000+20000+30000+16000+20000</f>
        <v>1098000</v>
      </c>
      <c r="L42" s="104">
        <f>15000+10000+20000+20000+10000+33000+10000+15000+869000+10000+20000+30000+16000+20000+200000</f>
        <v>1298000</v>
      </c>
      <c r="M42" s="96">
        <f>15000+10000+20000+20000+10000+33000+10000+15000+869000+10000+20000+30000+16000+20000+200000</f>
        <v>1298000</v>
      </c>
      <c r="N42" s="104"/>
      <c r="O42" s="104"/>
      <c r="P42" s="104">
        <f t="shared" ref="P42" si="4">SUM(J42:M42)</f>
        <v>3694000</v>
      </c>
      <c r="Q42" s="548"/>
      <c r="R42" s="554"/>
      <c r="S42" s="555"/>
      <c r="T42" s="555"/>
    </row>
    <row r="43" spans="1:20" ht="24.75" hidden="1" customHeight="1" x14ac:dyDescent="0.3">
      <c r="A43" s="556"/>
      <c r="B43" s="556"/>
      <c r="C43" s="351" t="s">
        <v>165</v>
      </c>
      <c r="D43" s="99" t="s">
        <v>74</v>
      </c>
      <c r="E43" s="100" t="s">
        <v>27</v>
      </c>
      <c r="F43" s="101" t="s">
        <v>77</v>
      </c>
      <c r="G43" s="101" t="s">
        <v>16</v>
      </c>
      <c r="H43" s="86" t="s">
        <v>99</v>
      </c>
      <c r="I43" s="343" t="s">
        <v>80</v>
      </c>
      <c r="J43" s="87">
        <v>0</v>
      </c>
      <c r="K43" s="104">
        <v>110000</v>
      </c>
      <c r="L43" s="104">
        <v>110000</v>
      </c>
      <c r="M43" s="96">
        <v>110000</v>
      </c>
      <c r="N43" s="104"/>
      <c r="O43" s="104"/>
      <c r="P43" s="104">
        <f t="shared" ref="P43:P51" si="5">SUM(J43:M43)</f>
        <v>330000</v>
      </c>
      <c r="Q43" s="548"/>
      <c r="R43" s="16"/>
    </row>
    <row r="44" spans="1:20" ht="24" hidden="1" customHeight="1" x14ac:dyDescent="0.3">
      <c r="A44" s="556"/>
      <c r="B44" s="556"/>
      <c r="C44" s="351" t="s">
        <v>163</v>
      </c>
      <c r="D44" s="99" t="s">
        <v>74</v>
      </c>
      <c r="E44" s="100" t="s">
        <v>27</v>
      </c>
      <c r="F44" s="101" t="s">
        <v>77</v>
      </c>
      <c r="G44" s="101" t="s">
        <v>16</v>
      </c>
      <c r="H44" s="86" t="s">
        <v>99</v>
      </c>
      <c r="I44" s="343" t="s">
        <v>80</v>
      </c>
      <c r="J44" s="87">
        <v>0</v>
      </c>
      <c r="K44" s="104">
        <f>60000+20000+28000+15000</f>
        <v>123000</v>
      </c>
      <c r="L44" s="104">
        <f t="shared" ref="L44:M44" si="6">60000+20000+28000+15000</f>
        <v>123000</v>
      </c>
      <c r="M44" s="96">
        <f t="shared" si="6"/>
        <v>123000</v>
      </c>
      <c r="N44" s="104"/>
      <c r="O44" s="104"/>
      <c r="P44" s="104">
        <f t="shared" si="5"/>
        <v>369000</v>
      </c>
      <c r="Q44" s="548"/>
      <c r="R44" s="16"/>
    </row>
    <row r="45" spans="1:20" ht="24" hidden="1" customHeight="1" x14ac:dyDescent="0.3">
      <c r="A45" s="556"/>
      <c r="B45" s="556"/>
      <c r="C45" s="351" t="s">
        <v>164</v>
      </c>
      <c r="D45" s="99" t="s">
        <v>74</v>
      </c>
      <c r="E45" s="100" t="s">
        <v>27</v>
      </c>
      <c r="F45" s="101" t="s">
        <v>77</v>
      </c>
      <c r="G45" s="101" t="s">
        <v>16</v>
      </c>
      <c r="H45" s="86" t="s">
        <v>99</v>
      </c>
      <c r="I45" s="343" t="s">
        <v>80</v>
      </c>
      <c r="J45" s="87">
        <v>0</v>
      </c>
      <c r="K45" s="104">
        <f>10000+20000+15000</f>
        <v>45000</v>
      </c>
      <c r="L45" s="104">
        <f t="shared" ref="L45:M45" si="7">10000+20000+15000</f>
        <v>45000</v>
      </c>
      <c r="M45" s="96">
        <f t="shared" si="7"/>
        <v>45000</v>
      </c>
      <c r="N45" s="104"/>
      <c r="O45" s="104"/>
      <c r="P45" s="104">
        <f t="shared" si="5"/>
        <v>135000</v>
      </c>
      <c r="Q45" s="548"/>
      <c r="R45" s="16"/>
    </row>
    <row r="46" spans="1:20" ht="36.75" hidden="1" customHeight="1" x14ac:dyDescent="0.3">
      <c r="A46" s="557"/>
      <c r="B46" s="557"/>
      <c r="C46" s="350" t="s">
        <v>166</v>
      </c>
      <c r="D46" s="99" t="s">
        <v>74</v>
      </c>
      <c r="E46" s="100" t="s">
        <v>75</v>
      </c>
      <c r="F46" s="101" t="s">
        <v>77</v>
      </c>
      <c r="G46" s="101" t="s">
        <v>16</v>
      </c>
      <c r="H46" s="86" t="s">
        <v>99</v>
      </c>
      <c r="I46" s="343" t="s">
        <v>80</v>
      </c>
      <c r="J46" s="87">
        <v>18500</v>
      </c>
      <c r="K46" s="104">
        <f>10000+10000</f>
        <v>20000</v>
      </c>
      <c r="L46" s="104">
        <f t="shared" ref="L46:M46" si="8">10000+10000</f>
        <v>20000</v>
      </c>
      <c r="M46" s="96">
        <f t="shared" si="8"/>
        <v>20000</v>
      </c>
      <c r="N46" s="104"/>
      <c r="O46" s="104"/>
      <c r="P46" s="104">
        <f t="shared" si="5"/>
        <v>78500</v>
      </c>
      <c r="Q46" s="549"/>
      <c r="R46" s="16"/>
    </row>
    <row r="47" spans="1:20" ht="81" customHeight="1" x14ac:dyDescent="0.3">
      <c r="A47" s="209" t="s">
        <v>98</v>
      </c>
      <c r="B47" s="350" t="s">
        <v>114</v>
      </c>
      <c r="C47" s="350" t="s">
        <v>56</v>
      </c>
      <c r="D47" s="92" t="s">
        <v>74</v>
      </c>
      <c r="E47" s="93" t="s">
        <v>27</v>
      </c>
      <c r="F47" s="94" t="s">
        <v>77</v>
      </c>
      <c r="G47" s="94" t="s">
        <v>16</v>
      </c>
      <c r="H47" s="86" t="s">
        <v>246</v>
      </c>
      <c r="I47" s="343" t="s">
        <v>28</v>
      </c>
      <c r="J47" s="87">
        <f>300000-29040-15000-100000-33600</f>
        <v>122360</v>
      </c>
      <c r="K47" s="104">
        <v>0</v>
      </c>
      <c r="L47" s="104">
        <v>0</v>
      </c>
      <c r="M47" s="96"/>
      <c r="N47" s="104"/>
      <c r="O47" s="104"/>
      <c r="P47" s="104">
        <f t="shared" si="5"/>
        <v>122360</v>
      </c>
      <c r="Q47" s="371"/>
      <c r="R47" s="16"/>
    </row>
    <row r="48" spans="1:20" s="56" customFormat="1" ht="189.75" customHeight="1" x14ac:dyDescent="0.3">
      <c r="A48" s="209" t="s">
        <v>298</v>
      </c>
      <c r="B48" s="386" t="s">
        <v>306</v>
      </c>
      <c r="C48" s="381" t="s">
        <v>56</v>
      </c>
      <c r="D48" s="92" t="s">
        <v>74</v>
      </c>
      <c r="E48" s="93" t="s">
        <v>27</v>
      </c>
      <c r="F48" s="94" t="s">
        <v>77</v>
      </c>
      <c r="G48" s="94" t="s">
        <v>16</v>
      </c>
      <c r="H48" s="86" t="s">
        <v>299</v>
      </c>
      <c r="I48" s="379" t="s">
        <v>80</v>
      </c>
      <c r="J48" s="87"/>
      <c r="K48" s="104"/>
      <c r="L48" s="104"/>
      <c r="M48" s="96">
        <v>987500</v>
      </c>
      <c r="N48" s="104"/>
      <c r="O48" s="104"/>
      <c r="P48" s="104">
        <f t="shared" si="5"/>
        <v>987500</v>
      </c>
      <c r="Q48" s="371"/>
      <c r="R48" s="16"/>
    </row>
    <row r="49" spans="1:18" s="56" customFormat="1" ht="189.75" customHeight="1" x14ac:dyDescent="0.3">
      <c r="A49" s="209" t="s">
        <v>316</v>
      </c>
      <c r="B49" s="414" t="s">
        <v>317</v>
      </c>
      <c r="C49" s="414" t="s">
        <v>56</v>
      </c>
      <c r="D49" s="92" t="s">
        <v>74</v>
      </c>
      <c r="E49" s="93" t="s">
        <v>27</v>
      </c>
      <c r="F49" s="94" t="s">
        <v>77</v>
      </c>
      <c r="G49" s="94" t="s">
        <v>16</v>
      </c>
      <c r="H49" s="86" t="s">
        <v>318</v>
      </c>
      <c r="I49" s="412" t="s">
        <v>80</v>
      </c>
      <c r="J49" s="87"/>
      <c r="K49" s="104"/>
      <c r="L49" s="104"/>
      <c r="M49" s="96">
        <f>2112480</f>
        <v>2112480</v>
      </c>
      <c r="N49" s="104"/>
      <c r="O49" s="104"/>
      <c r="P49" s="104">
        <f t="shared" si="5"/>
        <v>2112480</v>
      </c>
      <c r="Q49" s="371"/>
      <c r="R49" s="16"/>
    </row>
    <row r="50" spans="1:18" s="56" customFormat="1" ht="189.75" customHeight="1" x14ac:dyDescent="0.3">
      <c r="A50" s="209" t="s">
        <v>319</v>
      </c>
      <c r="B50" s="419" t="s">
        <v>317</v>
      </c>
      <c r="C50" s="419" t="s">
        <v>56</v>
      </c>
      <c r="D50" s="92" t="s">
        <v>74</v>
      </c>
      <c r="E50" s="93" t="s">
        <v>27</v>
      </c>
      <c r="F50" s="94" t="s">
        <v>77</v>
      </c>
      <c r="G50" s="94" t="s">
        <v>16</v>
      </c>
      <c r="H50" s="86" t="s">
        <v>318</v>
      </c>
      <c r="I50" s="417" t="s">
        <v>80</v>
      </c>
      <c r="J50" s="87"/>
      <c r="K50" s="104"/>
      <c r="L50" s="104"/>
      <c r="M50" s="96">
        <v>234720</v>
      </c>
      <c r="N50" s="104"/>
      <c r="O50" s="104"/>
      <c r="P50" s="104">
        <f t="shared" si="5"/>
        <v>234720</v>
      </c>
      <c r="Q50" s="371"/>
      <c r="R50" s="16"/>
    </row>
    <row r="51" spans="1:18" s="56" customFormat="1" ht="220.5" customHeight="1" x14ac:dyDescent="0.3">
      <c r="A51" s="209" t="s">
        <v>320</v>
      </c>
      <c r="B51" s="424" t="s">
        <v>322</v>
      </c>
      <c r="C51" s="419" t="s">
        <v>56</v>
      </c>
      <c r="D51" s="92" t="s">
        <v>74</v>
      </c>
      <c r="E51" s="93" t="s">
        <v>27</v>
      </c>
      <c r="F51" s="94" t="s">
        <v>77</v>
      </c>
      <c r="G51" s="94" t="s">
        <v>16</v>
      </c>
      <c r="H51" s="86" t="s">
        <v>321</v>
      </c>
      <c r="I51" s="417" t="s">
        <v>80</v>
      </c>
      <c r="J51" s="87"/>
      <c r="K51" s="104"/>
      <c r="L51" s="104"/>
      <c r="M51" s="96">
        <f>13300</f>
        <v>13300</v>
      </c>
      <c r="N51" s="104"/>
      <c r="O51" s="104"/>
      <c r="P51" s="104">
        <f t="shared" si="5"/>
        <v>13300</v>
      </c>
      <c r="Q51" s="371"/>
      <c r="R51" s="16"/>
    </row>
    <row r="52" spans="1:18" ht="27" customHeight="1" x14ac:dyDescent="0.25">
      <c r="A52" s="243"/>
      <c r="B52" s="244" t="s">
        <v>21</v>
      </c>
      <c r="C52" s="245"/>
      <c r="D52" s="244"/>
      <c r="E52" s="244"/>
      <c r="F52" s="246"/>
      <c r="G52" s="247"/>
      <c r="H52" s="248"/>
      <c r="I52" s="244"/>
      <c r="J52" s="249">
        <f>J38+J39+J40+J41+J47</f>
        <v>2929360</v>
      </c>
      <c r="K52" s="249">
        <f>K39+K40+K41</f>
        <v>2058945</v>
      </c>
      <c r="L52" s="249">
        <f>L39+L40+L41</f>
        <v>1683228.3</v>
      </c>
      <c r="M52" s="249">
        <f>M39+M40+M41+M47+M48+M49+M50+M51</f>
        <v>4814450</v>
      </c>
      <c r="N52" s="249">
        <f>N39+N40+N41</f>
        <v>1479750</v>
      </c>
      <c r="O52" s="249">
        <f>O39+O40+O41</f>
        <v>1479750</v>
      </c>
      <c r="P52" s="249">
        <f>J52+K52+L52+M52+N52+O52</f>
        <v>14445483.300000001</v>
      </c>
      <c r="Q52" s="245"/>
      <c r="R52" s="8"/>
    </row>
    <row r="53" spans="1:18" ht="33" customHeight="1" x14ac:dyDescent="0.25">
      <c r="A53" s="224"/>
      <c r="B53" s="225" t="s">
        <v>24</v>
      </c>
      <c r="C53" s="225"/>
      <c r="D53" s="225"/>
      <c r="E53" s="225"/>
      <c r="F53" s="226"/>
      <c r="G53" s="227"/>
      <c r="H53" s="228"/>
      <c r="I53" s="225"/>
      <c r="J53" s="229">
        <f t="shared" ref="J53:O53" si="9">J24+J36+J52</f>
        <v>41738870.470000006</v>
      </c>
      <c r="K53" s="229">
        <f t="shared" si="9"/>
        <v>34136465.450000003</v>
      </c>
      <c r="L53" s="229">
        <f t="shared" si="9"/>
        <v>35072850.270000003</v>
      </c>
      <c r="M53" s="229">
        <f t="shared" si="9"/>
        <v>37053576.650000006</v>
      </c>
      <c r="N53" s="229">
        <f>N24+N36+N52</f>
        <v>33718876.650000006</v>
      </c>
      <c r="O53" s="229">
        <f t="shared" si="9"/>
        <v>33718876.650000006</v>
      </c>
      <c r="P53" s="229">
        <f>P24+P36+P52</f>
        <v>215439516.14000005</v>
      </c>
      <c r="Q53" s="225"/>
      <c r="R53" s="8"/>
    </row>
    <row r="54" spans="1:18" x14ac:dyDescent="0.25">
      <c r="A54" s="103"/>
      <c r="B54" s="125" t="s">
        <v>25</v>
      </c>
      <c r="C54" s="125"/>
      <c r="D54" s="125"/>
      <c r="E54" s="125"/>
      <c r="F54" s="162"/>
      <c r="G54" s="163"/>
      <c r="H54" s="230"/>
      <c r="I54" s="125"/>
      <c r="J54" s="104"/>
      <c r="K54" s="104"/>
      <c r="L54" s="104"/>
      <c r="M54" s="96"/>
      <c r="N54" s="104"/>
      <c r="O54" s="104"/>
      <c r="P54" s="104"/>
      <c r="Q54" s="125"/>
    </row>
    <row r="55" spans="1:18" ht="22.5" customHeight="1" x14ac:dyDescent="0.25">
      <c r="A55" s="103"/>
      <c r="B55" s="125" t="s">
        <v>168</v>
      </c>
      <c r="C55" s="125"/>
      <c r="D55" s="125"/>
      <c r="E55" s="125"/>
      <c r="F55" s="162"/>
      <c r="G55" s="163"/>
      <c r="H55" s="230"/>
      <c r="I55" s="125"/>
      <c r="J55" s="104">
        <v>6181600</v>
      </c>
      <c r="K55" s="104"/>
      <c r="L55" s="104"/>
      <c r="M55" s="96">
        <f>M49</f>
        <v>2112480</v>
      </c>
      <c r="N55" s="104"/>
      <c r="O55" s="104"/>
      <c r="P55" s="104">
        <f>SUM(J55:M55)</f>
        <v>8294080</v>
      </c>
      <c r="Q55" s="125"/>
    </row>
    <row r="56" spans="1:18" ht="26.25" customHeight="1" x14ac:dyDescent="0.25">
      <c r="A56" s="103"/>
      <c r="B56" s="126" t="s">
        <v>169</v>
      </c>
      <c r="C56" s="125"/>
      <c r="D56" s="125"/>
      <c r="E56" s="125"/>
      <c r="F56" s="162"/>
      <c r="G56" s="163"/>
      <c r="H56" s="230"/>
      <c r="I56" s="125"/>
      <c r="J56" s="136">
        <f>556913.66+125691.96+1860000+197569.99</f>
        <v>2740175.6100000003</v>
      </c>
      <c r="K56" s="136">
        <f>K10+K16+K12+K29</f>
        <v>1479370.68</v>
      </c>
      <c r="L56" s="174">
        <f>L29+L31+L32+L10+L16+L12+L18</f>
        <v>1291232.52</v>
      </c>
      <c r="M56" s="315">
        <f>M50</f>
        <v>234720</v>
      </c>
      <c r="N56" s="174"/>
      <c r="O56" s="174"/>
      <c r="P56" s="104">
        <f>SUM(J56:M56)</f>
        <v>5745498.8100000005</v>
      </c>
      <c r="Q56" s="125"/>
    </row>
    <row r="57" spans="1:18" ht="30" customHeight="1" x14ac:dyDescent="0.25">
      <c r="A57" s="103"/>
      <c r="B57" s="125" t="s">
        <v>170</v>
      </c>
      <c r="C57" s="125"/>
      <c r="D57" s="125"/>
      <c r="E57" s="125"/>
      <c r="F57" s="162"/>
      <c r="G57" s="163"/>
      <c r="H57" s="230"/>
      <c r="I57" s="125"/>
      <c r="J57" s="104">
        <f>J53-J56-J55</f>
        <v>32817094.860000007</v>
      </c>
      <c r="K57" s="104">
        <f>K53-K56-K55</f>
        <v>32657094.770000003</v>
      </c>
      <c r="L57" s="104">
        <f>L53-L55-L56</f>
        <v>33781617.75</v>
      </c>
      <c r="M57" s="96">
        <f>M53-M56-M55</f>
        <v>34706376.650000006</v>
      </c>
      <c r="N57" s="104">
        <f>N53</f>
        <v>33718876.650000006</v>
      </c>
      <c r="O57" s="104">
        <f>O53</f>
        <v>33718876.650000006</v>
      </c>
      <c r="P57" s="104">
        <f>SUM(J57:O57)</f>
        <v>201399937.33000001</v>
      </c>
      <c r="Q57" s="125"/>
    </row>
    <row r="58" spans="1:18" ht="30" customHeight="1" x14ac:dyDescent="0.25">
      <c r="A58" s="13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91"/>
      <c r="N58" s="2"/>
      <c r="O58" s="2"/>
      <c r="P58" s="2"/>
      <c r="Q58" s="2"/>
    </row>
    <row r="59" spans="1:18" x14ac:dyDescent="0.25">
      <c r="A59" s="13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91"/>
      <c r="N59" s="2"/>
      <c r="O59" s="2"/>
      <c r="P59" s="2"/>
      <c r="Q59" s="2"/>
      <c r="R59" s="8"/>
    </row>
    <row r="62" spans="1:18" s="11" customFormat="1" ht="31.5" customHeight="1" x14ac:dyDescent="0.25">
      <c r="A62" s="515"/>
      <c r="B62" s="515"/>
      <c r="C62" s="515"/>
      <c r="D62" s="515"/>
      <c r="E62" s="515"/>
      <c r="F62" s="515"/>
      <c r="G62" s="515"/>
      <c r="H62" s="515"/>
      <c r="I62" s="515"/>
      <c r="J62" s="10"/>
      <c r="K62" s="10"/>
      <c r="L62" s="10"/>
      <c r="M62" s="292"/>
      <c r="N62" s="10"/>
      <c r="O62" s="10"/>
      <c r="P62" s="10"/>
    </row>
    <row r="64" spans="1:18" x14ac:dyDescent="0.25">
      <c r="J64" s="8"/>
      <c r="K64" s="8"/>
      <c r="L64" s="8"/>
      <c r="M64" s="293"/>
      <c r="N64" s="8"/>
      <c r="O64" s="8"/>
      <c r="P64" s="8"/>
    </row>
    <row r="65" spans="10:18" x14ac:dyDescent="0.25">
      <c r="J65" s="8"/>
      <c r="K65" s="8"/>
      <c r="L65" s="8"/>
      <c r="M65" s="293"/>
      <c r="N65" s="8"/>
      <c r="O65" s="8"/>
      <c r="P65" s="8"/>
      <c r="R65" s="8"/>
    </row>
  </sheetData>
  <mergeCells count="33">
    <mergeCell ref="A33:A35"/>
    <mergeCell ref="B25:P25"/>
    <mergeCell ref="B33:B35"/>
    <mergeCell ref="Q5:Q6"/>
    <mergeCell ref="A62:I62"/>
    <mergeCell ref="Q29:Q31"/>
    <mergeCell ref="B22:B23"/>
    <mergeCell ref="A22:A23"/>
    <mergeCell ref="A26:A28"/>
    <mergeCell ref="B26:B28"/>
    <mergeCell ref="B29:B32"/>
    <mergeCell ref="A29:A32"/>
    <mergeCell ref="R42:T42"/>
    <mergeCell ref="A38:A46"/>
    <mergeCell ref="B38:B46"/>
    <mergeCell ref="Q38:Q46"/>
    <mergeCell ref="B37:P37"/>
    <mergeCell ref="M1:Q1"/>
    <mergeCell ref="Q26:Q28"/>
    <mergeCell ref="Q15:Q17"/>
    <mergeCell ref="A15:A19"/>
    <mergeCell ref="B7:P7"/>
    <mergeCell ref="B8:P8"/>
    <mergeCell ref="M2:Q2"/>
    <mergeCell ref="A3:Q3"/>
    <mergeCell ref="A5:A6"/>
    <mergeCell ref="B5:B6"/>
    <mergeCell ref="C5:C6"/>
    <mergeCell ref="D5:I5"/>
    <mergeCell ref="J5:P5"/>
    <mergeCell ref="A9:A14"/>
    <mergeCell ref="Q10:Q12"/>
    <mergeCell ref="F6:H6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0" fitToWidth="2" fitToHeight="3" orientation="landscape" r:id="rId1"/>
  <headerFooter alignWithMargins="0"/>
  <rowBreaks count="1" manualBreakCount="1">
    <brk id="2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/>
  </sheetPr>
  <dimension ref="A1:U78"/>
  <sheetViews>
    <sheetView view="pageBreakPreview" topLeftCell="F1" zoomScale="59" zoomScaleNormal="85" zoomScaleSheetLayoutView="59" workbookViewId="0">
      <selection activeCell="A3" sqref="A3:Q3"/>
    </sheetView>
  </sheetViews>
  <sheetFormatPr defaultColWidth="9.109375" defaultRowHeight="15.6" outlineLevelRow="1" x14ac:dyDescent="0.25"/>
  <cols>
    <col min="1" max="1" width="7.6640625" style="12" customWidth="1"/>
    <col min="2" max="2" width="30.88671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.44140625" style="9" customWidth="1"/>
    <col min="9" max="9" width="9.109375" style="9"/>
    <col min="10" max="10" width="17.6640625" style="9" customWidth="1"/>
    <col min="11" max="11" width="18.5546875" style="9" customWidth="1"/>
    <col min="12" max="12" width="18.44140625" style="9" customWidth="1"/>
    <col min="13" max="13" width="20.109375" style="294" customWidth="1"/>
    <col min="14" max="14" width="20.5546875" style="40" customWidth="1"/>
    <col min="15" max="15" width="19.5546875" style="56" customWidth="1"/>
    <col min="16" max="16" width="19" style="9" customWidth="1"/>
    <col min="17" max="17" width="26.33203125" style="9" customWidth="1"/>
    <col min="18" max="18" width="33.109375" style="9" customWidth="1"/>
    <col min="19" max="16384" width="9.109375" style="9"/>
  </cols>
  <sheetData>
    <row r="1" spans="1:21" ht="77.25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43"/>
      <c r="N1" s="543"/>
      <c r="O1" s="543"/>
      <c r="P1" s="543"/>
      <c r="Q1" s="543"/>
    </row>
    <row r="2" spans="1:21" ht="96.75" customHeight="1" x14ac:dyDescent="0.2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198"/>
      <c r="M2" s="566"/>
      <c r="N2" s="566"/>
      <c r="O2" s="566"/>
      <c r="P2" s="567"/>
      <c r="Q2" s="567"/>
      <c r="R2" s="1"/>
    </row>
    <row r="3" spans="1:21" ht="39" customHeight="1" x14ac:dyDescent="0.25">
      <c r="A3" s="568" t="s">
        <v>227</v>
      </c>
      <c r="B3" s="568"/>
      <c r="C3" s="568"/>
      <c r="D3" s="568"/>
      <c r="E3" s="568"/>
      <c r="F3" s="568"/>
      <c r="G3" s="568"/>
      <c r="H3" s="568"/>
      <c r="I3" s="568"/>
      <c r="J3" s="568"/>
      <c r="K3" s="568"/>
      <c r="L3" s="568"/>
      <c r="M3" s="568"/>
      <c r="N3" s="568"/>
      <c r="O3" s="568"/>
      <c r="P3" s="568"/>
      <c r="Q3" s="568"/>
    </row>
    <row r="4" spans="1:21" x14ac:dyDescent="0.25">
      <c r="A4" s="320"/>
      <c r="B4" s="326"/>
      <c r="C4" s="326"/>
      <c r="D4" s="326"/>
      <c r="E4" s="323"/>
      <c r="F4" s="324" t="s">
        <v>29</v>
      </c>
      <c r="G4" s="323">
        <v>5</v>
      </c>
      <c r="H4" s="323"/>
      <c r="I4" s="323"/>
      <c r="J4" s="326"/>
      <c r="K4" s="326"/>
      <c r="L4" s="326"/>
      <c r="M4" s="326"/>
      <c r="N4" s="326"/>
      <c r="O4" s="326"/>
      <c r="P4" s="326"/>
      <c r="Q4" s="326"/>
    </row>
    <row r="5" spans="1:21" ht="18" customHeight="1" x14ac:dyDescent="0.25">
      <c r="A5" s="525" t="s">
        <v>3</v>
      </c>
      <c r="B5" s="425" t="s">
        <v>281</v>
      </c>
      <c r="C5" s="526" t="s">
        <v>228</v>
      </c>
      <c r="D5" s="526" t="s">
        <v>4</v>
      </c>
      <c r="E5" s="526"/>
      <c r="F5" s="526"/>
      <c r="G5" s="526"/>
      <c r="H5" s="526"/>
      <c r="I5" s="526"/>
      <c r="J5" s="516" t="s">
        <v>224</v>
      </c>
      <c r="K5" s="517"/>
      <c r="L5" s="517"/>
      <c r="M5" s="517"/>
      <c r="N5" s="517"/>
      <c r="O5" s="517"/>
      <c r="P5" s="518"/>
      <c r="Q5" s="526" t="s">
        <v>5</v>
      </c>
    </row>
    <row r="6" spans="1:21" ht="83.25" customHeight="1" x14ac:dyDescent="0.25">
      <c r="A6" s="525"/>
      <c r="B6" s="427"/>
      <c r="C6" s="526"/>
      <c r="D6" s="327" t="s">
        <v>6</v>
      </c>
      <c r="E6" s="327" t="s">
        <v>7</v>
      </c>
      <c r="F6" s="516" t="s">
        <v>8</v>
      </c>
      <c r="G6" s="517"/>
      <c r="H6" s="518"/>
      <c r="I6" s="327" t="s">
        <v>9</v>
      </c>
      <c r="J6" s="327" t="s">
        <v>10</v>
      </c>
      <c r="K6" s="327" t="s">
        <v>11</v>
      </c>
      <c r="L6" s="327" t="s">
        <v>12</v>
      </c>
      <c r="M6" s="327" t="s">
        <v>159</v>
      </c>
      <c r="N6" s="327" t="s">
        <v>241</v>
      </c>
      <c r="O6" s="327" t="s">
        <v>289</v>
      </c>
      <c r="P6" s="327" t="s">
        <v>291</v>
      </c>
      <c r="Q6" s="526"/>
    </row>
    <row r="7" spans="1:21" x14ac:dyDescent="0.25">
      <c r="A7" s="103"/>
      <c r="B7" s="522" t="s">
        <v>222</v>
      </c>
      <c r="C7" s="523"/>
      <c r="D7" s="523"/>
      <c r="E7" s="523"/>
      <c r="F7" s="523"/>
      <c r="G7" s="523"/>
      <c r="H7" s="523"/>
      <c r="I7" s="523"/>
      <c r="J7" s="523"/>
      <c r="K7" s="523"/>
      <c r="L7" s="523"/>
      <c r="M7" s="523"/>
      <c r="N7" s="523"/>
      <c r="O7" s="523"/>
      <c r="P7" s="524"/>
      <c r="Q7" s="64"/>
    </row>
    <row r="8" spans="1:21" ht="19.5" customHeight="1" x14ac:dyDescent="0.25">
      <c r="A8" s="258" t="s">
        <v>13</v>
      </c>
      <c r="B8" s="570" t="s">
        <v>32</v>
      </c>
      <c r="C8" s="571"/>
      <c r="D8" s="571"/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571"/>
      <c r="P8" s="572"/>
      <c r="Q8" s="259"/>
    </row>
    <row r="9" spans="1:21" ht="78.75" customHeight="1" x14ac:dyDescent="0.25">
      <c r="A9" s="445" t="s">
        <v>30</v>
      </c>
      <c r="B9" s="125" t="s">
        <v>125</v>
      </c>
      <c r="C9" s="125" t="s">
        <v>56</v>
      </c>
      <c r="D9" s="103" t="s">
        <v>74</v>
      </c>
      <c r="E9" s="103" t="s">
        <v>75</v>
      </c>
      <c r="F9" s="162" t="s">
        <v>77</v>
      </c>
      <c r="G9" s="163">
        <v>3</v>
      </c>
      <c r="H9" s="79" t="s">
        <v>243</v>
      </c>
      <c r="I9" s="103" t="s">
        <v>78</v>
      </c>
      <c r="J9" s="237">
        <f>8302599.58+430220</f>
        <v>8732819.5800000001</v>
      </c>
      <c r="K9" s="96">
        <f>9237753.86+160237.86+436912.6-646.73-112768.62-50.3</f>
        <v>9721438.6699999981</v>
      </c>
      <c r="L9" s="81">
        <v>10491831.74</v>
      </c>
      <c r="M9" s="96">
        <v>10451508.17</v>
      </c>
      <c r="N9" s="96">
        <f>M9</f>
        <v>10451508.17</v>
      </c>
      <c r="O9" s="96">
        <f>N9</f>
        <v>10451508.17</v>
      </c>
      <c r="P9" s="96">
        <f>SUM(J9:O9)</f>
        <v>60300614.500000007</v>
      </c>
      <c r="Q9" s="544" t="s">
        <v>88</v>
      </c>
      <c r="R9" s="30" t="s">
        <v>184</v>
      </c>
    </row>
    <row r="10" spans="1:21" s="23" customFormat="1" ht="111.75" customHeight="1" x14ac:dyDescent="0.25">
      <c r="A10" s="550"/>
      <c r="B10" s="125" t="s">
        <v>171</v>
      </c>
      <c r="C10" s="125" t="s">
        <v>56</v>
      </c>
      <c r="D10" s="103" t="s">
        <v>74</v>
      </c>
      <c r="E10" s="79" t="s">
        <v>75</v>
      </c>
      <c r="F10" s="183" t="s">
        <v>77</v>
      </c>
      <c r="G10" s="163">
        <v>3</v>
      </c>
      <c r="H10" s="79" t="s">
        <v>254</v>
      </c>
      <c r="I10" s="79" t="s">
        <v>78</v>
      </c>
      <c r="J10" s="237">
        <v>13524.67</v>
      </c>
      <c r="K10" s="96"/>
      <c r="L10" s="81"/>
      <c r="M10" s="96"/>
      <c r="N10" s="96"/>
      <c r="O10" s="96"/>
      <c r="P10" s="96">
        <f t="shared" ref="P10:P21" si="0">SUM(J10:N10)</f>
        <v>13524.67</v>
      </c>
      <c r="Q10" s="545"/>
    </row>
    <row r="11" spans="1:21" ht="135" customHeight="1" x14ac:dyDescent="0.25">
      <c r="A11" s="550"/>
      <c r="B11" s="125" t="s">
        <v>138</v>
      </c>
      <c r="C11" s="125" t="s">
        <v>56</v>
      </c>
      <c r="D11" s="99" t="s">
        <v>74</v>
      </c>
      <c r="E11" s="100" t="s">
        <v>75</v>
      </c>
      <c r="F11" s="101" t="s">
        <v>77</v>
      </c>
      <c r="G11" s="102">
        <v>3</v>
      </c>
      <c r="H11" s="100" t="s">
        <v>251</v>
      </c>
      <c r="I11" s="100" t="s">
        <v>78</v>
      </c>
      <c r="J11" s="237">
        <f>316171.33+63431.05</f>
        <v>379602.38</v>
      </c>
      <c r="K11" s="81">
        <f>307252.05+64672.92-141460.39</f>
        <v>230464.57999999996</v>
      </c>
      <c r="L11" s="81">
        <v>37968.1</v>
      </c>
      <c r="M11" s="96"/>
      <c r="N11" s="96"/>
      <c r="O11" s="96"/>
      <c r="P11" s="96">
        <f t="shared" si="0"/>
        <v>648035.05999999994</v>
      </c>
      <c r="Q11" s="565"/>
    </row>
    <row r="12" spans="1:21" ht="149.25" customHeight="1" x14ac:dyDescent="0.25">
      <c r="A12" s="550"/>
      <c r="B12" s="125" t="s">
        <v>139</v>
      </c>
      <c r="C12" s="125" t="s">
        <v>56</v>
      </c>
      <c r="D12" s="99" t="s">
        <v>74</v>
      </c>
      <c r="E12" s="100" t="s">
        <v>75</v>
      </c>
      <c r="F12" s="101" t="s">
        <v>77</v>
      </c>
      <c r="G12" s="102">
        <v>3</v>
      </c>
      <c r="H12" s="100" t="s">
        <v>252</v>
      </c>
      <c r="I12" s="100" t="s">
        <v>78</v>
      </c>
      <c r="J12" s="164">
        <v>4111.0200000000004</v>
      </c>
      <c r="K12" s="104">
        <f>1972.92+646.73+50.3</f>
        <v>2669.9500000000003</v>
      </c>
      <c r="L12" s="81">
        <v>407.53</v>
      </c>
      <c r="M12" s="96"/>
      <c r="N12" s="104"/>
      <c r="O12" s="104"/>
      <c r="P12" s="96">
        <f t="shared" si="0"/>
        <v>7188.5000000000009</v>
      </c>
      <c r="Q12" s="540"/>
    </row>
    <row r="13" spans="1:21" ht="66.75" customHeight="1" x14ac:dyDescent="0.25">
      <c r="A13" s="446"/>
      <c r="B13" s="125" t="s">
        <v>140</v>
      </c>
      <c r="C13" s="126" t="s">
        <v>56</v>
      </c>
      <c r="D13" s="100" t="s">
        <v>74</v>
      </c>
      <c r="E13" s="100" t="s">
        <v>75</v>
      </c>
      <c r="F13" s="101" t="s">
        <v>77</v>
      </c>
      <c r="G13" s="102">
        <v>3</v>
      </c>
      <c r="H13" s="100" t="s">
        <v>258</v>
      </c>
      <c r="I13" s="100" t="s">
        <v>78</v>
      </c>
      <c r="J13" s="164">
        <f>141865.92+65974.35</f>
        <v>207840.27000000002</v>
      </c>
      <c r="K13" s="104">
        <f>97532.69+54352</f>
        <v>151884.69</v>
      </c>
      <c r="L13" s="81">
        <v>229997.2</v>
      </c>
      <c r="M13" s="96"/>
      <c r="N13" s="104"/>
      <c r="O13" s="104"/>
      <c r="P13" s="96">
        <f t="shared" si="0"/>
        <v>589722.16</v>
      </c>
      <c r="Q13" s="105"/>
      <c r="R13" s="9" t="s">
        <v>104</v>
      </c>
    </row>
    <row r="14" spans="1:21" ht="161.25" customHeight="1" x14ac:dyDescent="0.25">
      <c r="A14" s="103" t="s">
        <v>14</v>
      </c>
      <c r="B14" s="125" t="s">
        <v>33</v>
      </c>
      <c r="C14" s="125" t="s">
        <v>56</v>
      </c>
      <c r="D14" s="103" t="s">
        <v>74</v>
      </c>
      <c r="E14" s="103" t="s">
        <v>75</v>
      </c>
      <c r="F14" s="162" t="s">
        <v>77</v>
      </c>
      <c r="G14" s="163">
        <v>3</v>
      </c>
      <c r="H14" s="111" t="s">
        <v>263</v>
      </c>
      <c r="I14" s="103" t="s">
        <v>80</v>
      </c>
      <c r="J14" s="164"/>
      <c r="K14" s="104">
        <v>202950</v>
      </c>
      <c r="L14" s="81"/>
      <c r="M14" s="96"/>
      <c r="N14" s="104"/>
      <c r="O14" s="104"/>
      <c r="P14" s="96">
        <f t="shared" si="0"/>
        <v>202950</v>
      </c>
      <c r="Q14" s="241" t="s">
        <v>92</v>
      </c>
      <c r="R14" s="33" t="s">
        <v>205</v>
      </c>
      <c r="S14" s="9">
        <f>K14*0.01</f>
        <v>2029.5</v>
      </c>
    </row>
    <row r="15" spans="1:21" ht="65.25" customHeight="1" x14ac:dyDescent="0.25">
      <c r="A15" s="103" t="s">
        <v>57</v>
      </c>
      <c r="B15" s="106" t="s">
        <v>115</v>
      </c>
      <c r="C15" s="125" t="s">
        <v>56</v>
      </c>
      <c r="D15" s="73" t="s">
        <v>74</v>
      </c>
      <c r="E15" s="73" t="s">
        <v>75</v>
      </c>
      <c r="F15" s="74" t="s">
        <v>77</v>
      </c>
      <c r="G15" s="110">
        <v>3</v>
      </c>
      <c r="H15" s="111" t="s">
        <v>259</v>
      </c>
      <c r="I15" s="73" t="s">
        <v>80</v>
      </c>
      <c r="J15" s="164">
        <v>0</v>
      </c>
      <c r="K15" s="104"/>
      <c r="L15" s="81">
        <v>0</v>
      </c>
      <c r="M15" s="96"/>
      <c r="N15" s="104"/>
      <c r="O15" s="104"/>
      <c r="P15" s="96">
        <f t="shared" si="0"/>
        <v>0</v>
      </c>
      <c r="Q15" s="241" t="s">
        <v>106</v>
      </c>
      <c r="R15" s="9" t="s">
        <v>104</v>
      </c>
    </row>
    <row r="16" spans="1:21" ht="87.75" customHeight="1" x14ac:dyDescent="0.25">
      <c r="A16" s="103" t="s">
        <v>103</v>
      </c>
      <c r="B16" s="106" t="s">
        <v>34</v>
      </c>
      <c r="C16" s="125" t="s">
        <v>56</v>
      </c>
      <c r="D16" s="103" t="s">
        <v>74</v>
      </c>
      <c r="E16" s="103" t="s">
        <v>27</v>
      </c>
      <c r="F16" s="162" t="s">
        <v>77</v>
      </c>
      <c r="G16" s="163">
        <v>3</v>
      </c>
      <c r="H16" s="111" t="s">
        <v>264</v>
      </c>
      <c r="I16" s="103" t="s">
        <v>80</v>
      </c>
      <c r="J16" s="164">
        <f>300+62924</f>
        <v>63224</v>
      </c>
      <c r="K16" s="104"/>
      <c r="L16" s="81">
        <v>0</v>
      </c>
      <c r="M16" s="96"/>
      <c r="N16" s="104"/>
      <c r="O16" s="104"/>
      <c r="P16" s="96">
        <f t="shared" si="0"/>
        <v>63224</v>
      </c>
      <c r="Q16" s="241" t="s">
        <v>93</v>
      </c>
      <c r="R16" s="9">
        <f>J16*0.01</f>
        <v>632.24</v>
      </c>
      <c r="S16" s="9">
        <f>K16*0.01</f>
        <v>0</v>
      </c>
      <c r="T16" s="564" t="s">
        <v>155</v>
      </c>
      <c r="U16" s="564"/>
    </row>
    <row r="17" spans="1:21" s="33" customFormat="1" ht="193.5" customHeight="1" x14ac:dyDescent="0.25">
      <c r="A17" s="103" t="s">
        <v>160</v>
      </c>
      <c r="B17" s="260" t="s">
        <v>206</v>
      </c>
      <c r="C17" s="125" t="s">
        <v>56</v>
      </c>
      <c r="D17" s="103" t="s">
        <v>74</v>
      </c>
      <c r="E17" s="103" t="s">
        <v>75</v>
      </c>
      <c r="F17" s="162" t="s">
        <v>77</v>
      </c>
      <c r="G17" s="163">
        <v>3</v>
      </c>
      <c r="H17" s="111" t="s">
        <v>265</v>
      </c>
      <c r="I17" s="103" t="s">
        <v>80</v>
      </c>
      <c r="J17" s="164"/>
      <c r="K17" s="104">
        <v>2050</v>
      </c>
      <c r="L17" s="81"/>
      <c r="M17" s="96"/>
      <c r="N17" s="104"/>
      <c r="O17" s="104"/>
      <c r="P17" s="96">
        <f t="shared" si="0"/>
        <v>2050</v>
      </c>
      <c r="Q17" s="241" t="s">
        <v>92</v>
      </c>
      <c r="R17" s="33" t="s">
        <v>207</v>
      </c>
      <c r="S17" s="33">
        <f>K17*0.01</f>
        <v>20.5</v>
      </c>
    </row>
    <row r="18" spans="1:21" s="33" customFormat="1" ht="87.75" customHeight="1" x14ac:dyDescent="0.25">
      <c r="A18" s="103" t="s">
        <v>172</v>
      </c>
      <c r="B18" s="106" t="s">
        <v>34</v>
      </c>
      <c r="C18" s="125" t="s">
        <v>56</v>
      </c>
      <c r="D18" s="103" t="s">
        <v>74</v>
      </c>
      <c r="E18" s="103" t="s">
        <v>27</v>
      </c>
      <c r="F18" s="162" t="s">
        <v>77</v>
      </c>
      <c r="G18" s="163">
        <v>3</v>
      </c>
      <c r="H18" s="111" t="s">
        <v>266</v>
      </c>
      <c r="I18" s="103" t="s">
        <v>80</v>
      </c>
      <c r="J18" s="164"/>
      <c r="K18" s="104">
        <v>54000</v>
      </c>
      <c r="L18" s="81">
        <v>0</v>
      </c>
      <c r="M18" s="96"/>
      <c r="N18" s="104"/>
      <c r="O18" s="104"/>
      <c r="P18" s="96">
        <f t="shared" si="0"/>
        <v>54000</v>
      </c>
      <c r="Q18" s="241" t="s">
        <v>93</v>
      </c>
      <c r="R18" s="33" t="s">
        <v>214</v>
      </c>
      <c r="T18" s="564"/>
      <c r="U18" s="564"/>
    </row>
    <row r="19" spans="1:21" s="33" customFormat="1" ht="87.75" customHeight="1" x14ac:dyDescent="0.25">
      <c r="A19" s="103" t="s">
        <v>196</v>
      </c>
      <c r="B19" s="261" t="s">
        <v>215</v>
      </c>
      <c r="C19" s="125" t="s">
        <v>56</v>
      </c>
      <c r="D19" s="103" t="s">
        <v>74</v>
      </c>
      <c r="E19" s="103" t="s">
        <v>27</v>
      </c>
      <c r="F19" s="162" t="s">
        <v>77</v>
      </c>
      <c r="G19" s="163">
        <v>3</v>
      </c>
      <c r="H19" s="111" t="s">
        <v>264</v>
      </c>
      <c r="I19" s="103" t="s">
        <v>80</v>
      </c>
      <c r="J19" s="164"/>
      <c r="K19" s="104">
        <v>546</v>
      </c>
      <c r="L19" s="81">
        <v>0</v>
      </c>
      <c r="M19" s="96"/>
      <c r="N19" s="104"/>
      <c r="O19" s="104"/>
      <c r="P19" s="96">
        <f t="shared" si="0"/>
        <v>546</v>
      </c>
      <c r="Q19" s="241" t="s">
        <v>93</v>
      </c>
      <c r="R19" s="33" t="s">
        <v>214</v>
      </c>
      <c r="T19" s="564"/>
      <c r="U19" s="564"/>
    </row>
    <row r="20" spans="1:21" s="52" customFormat="1" ht="210.75" customHeight="1" x14ac:dyDescent="0.25">
      <c r="A20" s="103" t="s">
        <v>230</v>
      </c>
      <c r="B20" s="161" t="s">
        <v>284</v>
      </c>
      <c r="C20" s="125" t="s">
        <v>56</v>
      </c>
      <c r="D20" s="103" t="s">
        <v>74</v>
      </c>
      <c r="E20" s="103" t="s">
        <v>75</v>
      </c>
      <c r="F20" s="162" t="s">
        <v>77</v>
      </c>
      <c r="G20" s="163">
        <v>3</v>
      </c>
      <c r="H20" s="111" t="s">
        <v>283</v>
      </c>
      <c r="I20" s="103" t="s">
        <v>80</v>
      </c>
      <c r="J20" s="164"/>
      <c r="K20" s="104"/>
      <c r="L20" s="96">
        <v>35360</v>
      </c>
      <c r="M20" s="96"/>
      <c r="N20" s="104"/>
      <c r="O20" s="104"/>
      <c r="P20" s="96">
        <f t="shared" si="0"/>
        <v>35360</v>
      </c>
      <c r="Q20" s="241"/>
      <c r="T20" s="53"/>
      <c r="U20" s="53"/>
    </row>
    <row r="21" spans="1:21" s="52" customFormat="1" ht="222.75" customHeight="1" x14ac:dyDescent="0.25">
      <c r="A21" s="103" t="s">
        <v>278</v>
      </c>
      <c r="B21" s="161" t="s">
        <v>285</v>
      </c>
      <c r="C21" s="125" t="s">
        <v>56</v>
      </c>
      <c r="D21" s="103" t="s">
        <v>74</v>
      </c>
      <c r="E21" s="103" t="s">
        <v>75</v>
      </c>
      <c r="F21" s="162" t="s">
        <v>77</v>
      </c>
      <c r="G21" s="163">
        <v>3</v>
      </c>
      <c r="H21" s="111" t="s">
        <v>287</v>
      </c>
      <c r="I21" s="103" t="s">
        <v>80</v>
      </c>
      <c r="J21" s="164"/>
      <c r="K21" s="104"/>
      <c r="L21" s="96">
        <v>721.7</v>
      </c>
      <c r="M21" s="96"/>
      <c r="N21" s="104"/>
      <c r="O21" s="104"/>
      <c r="P21" s="96">
        <f t="shared" si="0"/>
        <v>721.7</v>
      </c>
      <c r="Q21" s="241"/>
      <c r="T21" s="53"/>
      <c r="U21" s="53"/>
    </row>
    <row r="22" spans="1:21" ht="30.75" customHeight="1" x14ac:dyDescent="0.25">
      <c r="A22" s="243"/>
      <c r="B22" s="244" t="s">
        <v>15</v>
      </c>
      <c r="C22" s="245"/>
      <c r="D22" s="244"/>
      <c r="E22" s="244"/>
      <c r="F22" s="246"/>
      <c r="G22" s="247"/>
      <c r="H22" s="248"/>
      <c r="I22" s="244"/>
      <c r="J22" s="249">
        <f>SUM(J9:J16)</f>
        <v>9401121.9199999999</v>
      </c>
      <c r="K22" s="249">
        <f>SUM(K9:K19)</f>
        <v>10366003.889999997</v>
      </c>
      <c r="L22" s="249">
        <f>SUM(L9:L21)</f>
        <v>10796286.269999998</v>
      </c>
      <c r="M22" s="249">
        <f>SUM(M9:M16)</f>
        <v>10451508.17</v>
      </c>
      <c r="N22" s="249">
        <f>SUM(N9:N16)</f>
        <v>10451508.17</v>
      </c>
      <c r="O22" s="249">
        <f>SUM(O9:O16)</f>
        <v>10451508.17</v>
      </c>
      <c r="P22" s="249">
        <f>J22+K22+L22+M22+N22+O22</f>
        <v>61917936.589999996</v>
      </c>
      <c r="Q22" s="245"/>
      <c r="R22" s="8"/>
    </row>
    <row r="23" spans="1:21" ht="21" customHeight="1" x14ac:dyDescent="0.25">
      <c r="A23" s="258" t="s">
        <v>16</v>
      </c>
      <c r="B23" s="570" t="s">
        <v>35</v>
      </c>
      <c r="C23" s="571"/>
      <c r="D23" s="571"/>
      <c r="E23" s="571"/>
      <c r="F23" s="571"/>
      <c r="G23" s="571"/>
      <c r="H23" s="571"/>
      <c r="I23" s="571"/>
      <c r="J23" s="571"/>
      <c r="K23" s="571"/>
      <c r="L23" s="571"/>
      <c r="M23" s="571"/>
      <c r="N23" s="571"/>
      <c r="O23" s="571"/>
      <c r="P23" s="572"/>
      <c r="Q23" s="262"/>
    </row>
    <row r="24" spans="1:21" ht="167.25" customHeight="1" x14ac:dyDescent="0.3">
      <c r="A24" s="263" t="s">
        <v>17</v>
      </c>
      <c r="B24" s="161" t="s">
        <v>36</v>
      </c>
      <c r="C24" s="106" t="s">
        <v>56</v>
      </c>
      <c r="D24" s="103"/>
      <c r="E24" s="103"/>
      <c r="F24" s="162"/>
      <c r="G24" s="163"/>
      <c r="H24" s="79"/>
      <c r="I24" s="103"/>
      <c r="J24" s="174"/>
      <c r="K24" s="174"/>
      <c r="L24" s="174"/>
      <c r="M24" s="315"/>
      <c r="N24" s="174"/>
      <c r="O24" s="174"/>
      <c r="P24" s="174">
        <f>SUM(J24:L24)</f>
        <v>0</v>
      </c>
      <c r="Q24" s="241" t="s">
        <v>94</v>
      </c>
      <c r="R24" s="15"/>
    </row>
    <row r="25" spans="1:21" ht="27" customHeight="1" x14ac:dyDescent="0.25">
      <c r="A25" s="243"/>
      <c r="B25" s="244" t="s">
        <v>18</v>
      </c>
      <c r="C25" s="245"/>
      <c r="D25" s="244"/>
      <c r="E25" s="244"/>
      <c r="F25" s="246"/>
      <c r="G25" s="247"/>
      <c r="H25" s="248"/>
      <c r="I25" s="244"/>
      <c r="J25" s="264">
        <f>SUM(J24:J24)</f>
        <v>0</v>
      </c>
      <c r="K25" s="264">
        <f>SUM(K24:K24)</f>
        <v>0</v>
      </c>
      <c r="L25" s="264">
        <f>SUM(L24:L24)</f>
        <v>0</v>
      </c>
      <c r="M25" s="264">
        <f t="shared" ref="M25:N25" si="1">SUM(M24:M24)</f>
        <v>0</v>
      </c>
      <c r="N25" s="264">
        <f t="shared" si="1"/>
        <v>0</v>
      </c>
      <c r="O25" s="264"/>
      <c r="P25" s="264">
        <f>SUM(P24:P24)</f>
        <v>0</v>
      </c>
      <c r="Q25" s="245"/>
      <c r="R25" s="8"/>
    </row>
    <row r="26" spans="1:21" ht="22.5" customHeight="1" x14ac:dyDescent="0.25">
      <c r="A26" s="258" t="s">
        <v>19</v>
      </c>
      <c r="B26" s="570" t="s">
        <v>37</v>
      </c>
      <c r="C26" s="571"/>
      <c r="D26" s="571"/>
      <c r="E26" s="571"/>
      <c r="F26" s="571"/>
      <c r="G26" s="571"/>
      <c r="H26" s="571"/>
      <c r="I26" s="571"/>
      <c r="J26" s="571"/>
      <c r="K26" s="571"/>
      <c r="L26" s="571"/>
      <c r="M26" s="571"/>
      <c r="N26" s="571"/>
      <c r="O26" s="571"/>
      <c r="P26" s="572"/>
      <c r="Q26" s="262"/>
    </row>
    <row r="27" spans="1:21" ht="39.75" customHeight="1" x14ac:dyDescent="0.3">
      <c r="A27" s="445" t="s">
        <v>20</v>
      </c>
      <c r="B27" s="527" t="s">
        <v>131</v>
      </c>
      <c r="C27" s="106" t="s">
        <v>56</v>
      </c>
      <c r="D27" s="103" t="s">
        <v>74</v>
      </c>
      <c r="E27" s="103" t="s">
        <v>27</v>
      </c>
      <c r="F27" s="162" t="s">
        <v>77</v>
      </c>
      <c r="G27" s="163">
        <v>3</v>
      </c>
      <c r="H27" s="111" t="s">
        <v>267</v>
      </c>
      <c r="I27" s="103" t="s">
        <v>80</v>
      </c>
      <c r="J27" s="251">
        <f>16000+4000</f>
        <v>20000</v>
      </c>
      <c r="K27" s="136">
        <v>0</v>
      </c>
      <c r="L27" s="136">
        <v>0</v>
      </c>
      <c r="M27" s="304">
        <v>0</v>
      </c>
      <c r="N27" s="136">
        <v>0</v>
      </c>
      <c r="O27" s="136"/>
      <c r="P27" s="136">
        <f t="shared" ref="P27:P32" si="2">SUM(J27:M27)</f>
        <v>20000</v>
      </c>
      <c r="Q27" s="544" t="s">
        <v>89</v>
      </c>
      <c r="R27" s="16" t="s">
        <v>101</v>
      </c>
    </row>
    <row r="28" spans="1:21" ht="39.75" customHeight="1" x14ac:dyDescent="0.3">
      <c r="A28" s="446"/>
      <c r="B28" s="528"/>
      <c r="C28" s="106" t="s">
        <v>56</v>
      </c>
      <c r="D28" s="99" t="s">
        <v>74</v>
      </c>
      <c r="E28" s="100" t="s">
        <v>27</v>
      </c>
      <c r="F28" s="101" t="s">
        <v>77</v>
      </c>
      <c r="G28" s="102">
        <v>3</v>
      </c>
      <c r="H28" s="111" t="s">
        <v>267</v>
      </c>
      <c r="I28" s="103" t="s">
        <v>28</v>
      </c>
      <c r="J28" s="251">
        <f>15000+3880</f>
        <v>18880</v>
      </c>
      <c r="K28" s="136">
        <v>0</v>
      </c>
      <c r="L28" s="136">
        <v>0</v>
      </c>
      <c r="M28" s="304">
        <v>0</v>
      </c>
      <c r="N28" s="136">
        <v>0</v>
      </c>
      <c r="O28" s="136"/>
      <c r="P28" s="136">
        <f t="shared" si="2"/>
        <v>18880</v>
      </c>
      <c r="Q28" s="546"/>
      <c r="R28" s="16" t="s">
        <v>100</v>
      </c>
    </row>
    <row r="29" spans="1:21" ht="62.25" customHeight="1" x14ac:dyDescent="0.3">
      <c r="A29" s="445" t="s">
        <v>98</v>
      </c>
      <c r="B29" s="527" t="s">
        <v>116</v>
      </c>
      <c r="C29" s="106" t="s">
        <v>56</v>
      </c>
      <c r="D29" s="92" t="s">
        <v>74</v>
      </c>
      <c r="E29" s="93" t="s">
        <v>27</v>
      </c>
      <c r="F29" s="94" t="s">
        <v>77</v>
      </c>
      <c r="G29" s="95">
        <v>3</v>
      </c>
      <c r="H29" s="111" t="s">
        <v>268</v>
      </c>
      <c r="I29" s="73" t="s">
        <v>80</v>
      </c>
      <c r="J29" s="251">
        <v>90000</v>
      </c>
      <c r="K29" s="136">
        <v>0</v>
      </c>
      <c r="L29" s="136">
        <v>0</v>
      </c>
      <c r="M29" s="304">
        <v>0</v>
      </c>
      <c r="N29" s="136">
        <v>0</v>
      </c>
      <c r="O29" s="136"/>
      <c r="P29" s="136">
        <f t="shared" si="2"/>
        <v>90000</v>
      </c>
      <c r="Q29" s="544" t="s">
        <v>107</v>
      </c>
      <c r="R29" s="16" t="s">
        <v>101</v>
      </c>
    </row>
    <row r="30" spans="1:21" ht="64.5" customHeight="1" x14ac:dyDescent="0.3">
      <c r="A30" s="446"/>
      <c r="B30" s="528"/>
      <c r="C30" s="106" t="s">
        <v>56</v>
      </c>
      <c r="D30" s="92" t="s">
        <v>74</v>
      </c>
      <c r="E30" s="93" t="s">
        <v>27</v>
      </c>
      <c r="F30" s="94" t="s">
        <v>77</v>
      </c>
      <c r="G30" s="95">
        <v>3</v>
      </c>
      <c r="H30" s="114" t="s">
        <v>268</v>
      </c>
      <c r="I30" s="73" t="s">
        <v>28</v>
      </c>
      <c r="J30" s="251">
        <v>0</v>
      </c>
      <c r="K30" s="136">
        <v>0</v>
      </c>
      <c r="L30" s="136">
        <v>0</v>
      </c>
      <c r="M30" s="304">
        <v>0</v>
      </c>
      <c r="N30" s="136">
        <v>0</v>
      </c>
      <c r="O30" s="136"/>
      <c r="P30" s="136">
        <f t="shared" si="2"/>
        <v>0</v>
      </c>
      <c r="Q30" s="546"/>
      <c r="R30" s="16" t="s">
        <v>100</v>
      </c>
    </row>
    <row r="31" spans="1:21" ht="43.5" customHeight="1" x14ac:dyDescent="0.3">
      <c r="A31" s="445" t="s">
        <v>134</v>
      </c>
      <c r="B31" s="527" t="s">
        <v>132</v>
      </c>
      <c r="C31" s="106" t="s">
        <v>56</v>
      </c>
      <c r="D31" s="92" t="s">
        <v>74</v>
      </c>
      <c r="E31" s="93" t="s">
        <v>27</v>
      </c>
      <c r="F31" s="94" t="s">
        <v>77</v>
      </c>
      <c r="G31" s="95">
        <v>3</v>
      </c>
      <c r="H31" s="114" t="s">
        <v>269</v>
      </c>
      <c r="I31" s="73" t="s">
        <v>28</v>
      </c>
      <c r="J31" s="251">
        <v>75500</v>
      </c>
      <c r="K31" s="136">
        <v>0</v>
      </c>
      <c r="L31" s="136">
        <v>0</v>
      </c>
      <c r="M31" s="304">
        <v>0</v>
      </c>
      <c r="N31" s="136">
        <v>0</v>
      </c>
      <c r="O31" s="136"/>
      <c r="P31" s="136">
        <f t="shared" si="2"/>
        <v>75500</v>
      </c>
      <c r="Q31" s="236"/>
      <c r="R31" s="16" t="s">
        <v>100</v>
      </c>
    </row>
    <row r="32" spans="1:21" ht="38.25" customHeight="1" x14ac:dyDescent="0.3">
      <c r="A32" s="446"/>
      <c r="B32" s="528"/>
      <c r="C32" s="213" t="s">
        <v>56</v>
      </c>
      <c r="D32" s="239" t="s">
        <v>74</v>
      </c>
      <c r="E32" s="239" t="s">
        <v>27</v>
      </c>
      <c r="F32" s="240" t="s">
        <v>77</v>
      </c>
      <c r="G32" s="265">
        <v>3</v>
      </c>
      <c r="H32" s="239" t="s">
        <v>269</v>
      </c>
      <c r="I32" s="239" t="s">
        <v>80</v>
      </c>
      <c r="J32" s="251">
        <v>80000</v>
      </c>
      <c r="K32" s="136">
        <v>0</v>
      </c>
      <c r="L32" s="136">
        <v>0</v>
      </c>
      <c r="M32" s="304">
        <v>0</v>
      </c>
      <c r="N32" s="136">
        <v>0</v>
      </c>
      <c r="O32" s="136"/>
      <c r="P32" s="136">
        <f t="shared" si="2"/>
        <v>80000</v>
      </c>
      <c r="Q32" s="236"/>
      <c r="R32" s="16" t="s">
        <v>101</v>
      </c>
    </row>
    <row r="33" spans="1:19" ht="93.75" customHeight="1" x14ac:dyDescent="0.3">
      <c r="A33" s="263" t="s">
        <v>133</v>
      </c>
      <c r="B33" s="266" t="s">
        <v>117</v>
      </c>
      <c r="C33" s="106" t="s">
        <v>56</v>
      </c>
      <c r="D33" s="92" t="s">
        <v>74</v>
      </c>
      <c r="E33" s="93" t="s">
        <v>26</v>
      </c>
      <c r="F33" s="94" t="s">
        <v>77</v>
      </c>
      <c r="G33" s="95">
        <v>3</v>
      </c>
      <c r="H33" s="111" t="s">
        <v>270</v>
      </c>
      <c r="I33" s="73" t="s">
        <v>28</v>
      </c>
      <c r="J33" s="251">
        <v>250000</v>
      </c>
      <c r="K33" s="136">
        <f>250000-20000</f>
        <v>230000</v>
      </c>
      <c r="L33" s="136">
        <f>124500+20000</f>
        <v>144500</v>
      </c>
      <c r="M33" s="304">
        <v>167200</v>
      </c>
      <c r="N33" s="136">
        <f>M33</f>
        <v>167200</v>
      </c>
      <c r="O33" s="136">
        <f>N33</f>
        <v>167200</v>
      </c>
      <c r="P33" s="136">
        <f>SUM(J33:O33)</f>
        <v>1126100</v>
      </c>
      <c r="Q33" s="236"/>
      <c r="R33" s="16" t="s">
        <v>102</v>
      </c>
    </row>
    <row r="34" spans="1:19" ht="27.75" customHeight="1" x14ac:dyDescent="0.25">
      <c r="A34" s="243"/>
      <c r="B34" s="244" t="s">
        <v>21</v>
      </c>
      <c r="C34" s="245"/>
      <c r="D34" s="244"/>
      <c r="E34" s="244"/>
      <c r="F34" s="246"/>
      <c r="G34" s="247"/>
      <c r="H34" s="248"/>
      <c r="I34" s="244"/>
      <c r="J34" s="257">
        <f>SUM(J27:J33)</f>
        <v>534380</v>
      </c>
      <c r="K34" s="257">
        <f t="shared" ref="K34:O34" si="3">SUM(K27:K33)</f>
        <v>230000</v>
      </c>
      <c r="L34" s="257">
        <f t="shared" si="3"/>
        <v>144500</v>
      </c>
      <c r="M34" s="329">
        <f t="shared" si="3"/>
        <v>167200</v>
      </c>
      <c r="N34" s="257">
        <f t="shared" si="3"/>
        <v>167200</v>
      </c>
      <c r="O34" s="257">
        <f t="shared" si="3"/>
        <v>167200</v>
      </c>
      <c r="P34" s="257">
        <f>SUM(P27:P33)</f>
        <v>1410480</v>
      </c>
      <c r="Q34" s="245"/>
      <c r="R34" s="8"/>
    </row>
    <row r="35" spans="1:19" ht="23.25" customHeight="1" x14ac:dyDescent="0.25">
      <c r="A35" s="258" t="s">
        <v>22</v>
      </c>
      <c r="B35" s="570" t="s">
        <v>38</v>
      </c>
      <c r="C35" s="571"/>
      <c r="D35" s="571"/>
      <c r="E35" s="571"/>
      <c r="F35" s="571"/>
      <c r="G35" s="571"/>
      <c r="H35" s="571"/>
      <c r="I35" s="571"/>
      <c r="J35" s="571"/>
      <c r="K35" s="571"/>
      <c r="L35" s="571"/>
      <c r="M35" s="571"/>
      <c r="N35" s="571"/>
      <c r="O35" s="571"/>
      <c r="P35" s="572"/>
      <c r="Q35" s="267"/>
    </row>
    <row r="36" spans="1:19" ht="70.5" customHeight="1" x14ac:dyDescent="0.25">
      <c r="A36" s="445" t="s">
        <v>31</v>
      </c>
      <c r="B36" s="527" t="s">
        <v>135</v>
      </c>
      <c r="C36" s="443" t="s">
        <v>56</v>
      </c>
      <c r="D36" s="73" t="s">
        <v>74</v>
      </c>
      <c r="E36" s="73" t="s">
        <v>75</v>
      </c>
      <c r="F36" s="74" t="s">
        <v>77</v>
      </c>
      <c r="G36" s="110">
        <v>3</v>
      </c>
      <c r="H36" s="79" t="s">
        <v>249</v>
      </c>
      <c r="I36" s="73" t="s">
        <v>80</v>
      </c>
      <c r="J36" s="268">
        <v>60000</v>
      </c>
      <c r="K36" s="174">
        <v>0</v>
      </c>
      <c r="L36" s="174">
        <v>0</v>
      </c>
      <c r="M36" s="315"/>
      <c r="N36" s="174"/>
      <c r="O36" s="174"/>
      <c r="P36" s="174">
        <f>SUM(J36:M36)</f>
        <v>60000</v>
      </c>
      <c r="Q36" s="544" t="s">
        <v>105</v>
      </c>
      <c r="R36" s="9" t="s">
        <v>104</v>
      </c>
    </row>
    <row r="37" spans="1:19" ht="75" customHeight="1" x14ac:dyDescent="0.25">
      <c r="A37" s="550"/>
      <c r="B37" s="563"/>
      <c r="C37" s="569"/>
      <c r="D37" s="73" t="s">
        <v>74</v>
      </c>
      <c r="E37" s="73" t="s">
        <v>27</v>
      </c>
      <c r="F37" s="74" t="s">
        <v>77</v>
      </c>
      <c r="G37" s="110">
        <v>3</v>
      </c>
      <c r="H37" s="79" t="s">
        <v>249</v>
      </c>
      <c r="I37" s="73" t="s">
        <v>80</v>
      </c>
      <c r="J37" s="268">
        <f>90000+60000-50000</f>
        <v>100000</v>
      </c>
      <c r="K37" s="174">
        <f>400000+37559</f>
        <v>437559</v>
      </c>
      <c r="L37" s="174">
        <v>0</v>
      </c>
      <c r="M37" s="315"/>
      <c r="N37" s="174"/>
      <c r="O37" s="174"/>
      <c r="P37" s="174">
        <f>SUM(J37:M37)</f>
        <v>537559</v>
      </c>
      <c r="Q37" s="545"/>
      <c r="R37" s="28" t="s">
        <v>178</v>
      </c>
    </row>
    <row r="38" spans="1:19" ht="141.75" customHeight="1" x14ac:dyDescent="0.25">
      <c r="A38" s="103" t="s">
        <v>39</v>
      </c>
      <c r="B38" s="125" t="s">
        <v>61</v>
      </c>
      <c r="C38" s="98" t="s">
        <v>56</v>
      </c>
      <c r="D38" s="103"/>
      <c r="E38" s="103"/>
      <c r="F38" s="162"/>
      <c r="G38" s="163"/>
      <c r="H38" s="79"/>
      <c r="I38" s="103"/>
      <c r="J38" s="268"/>
      <c r="K38" s="174"/>
      <c r="L38" s="174"/>
      <c r="M38" s="315"/>
      <c r="N38" s="174"/>
      <c r="O38" s="174"/>
      <c r="P38" s="174">
        <f t="shared" ref="P38:P39" si="4">SUM(J38:L38)</f>
        <v>0</v>
      </c>
      <c r="Q38" s="269" t="s">
        <v>90</v>
      </c>
      <c r="R38" s="9">
        <f>J38*0.2</f>
        <v>0</v>
      </c>
      <c r="S38" s="9">
        <f>K38*0.2</f>
        <v>0</v>
      </c>
    </row>
    <row r="39" spans="1:19" ht="110.25" customHeight="1" x14ac:dyDescent="0.25">
      <c r="A39" s="103" t="s">
        <v>40</v>
      </c>
      <c r="B39" s="125" t="s">
        <v>62</v>
      </c>
      <c r="C39" s="98" t="s">
        <v>56</v>
      </c>
      <c r="D39" s="103"/>
      <c r="E39" s="103"/>
      <c r="F39" s="162"/>
      <c r="G39" s="163"/>
      <c r="H39" s="79"/>
      <c r="I39" s="103"/>
      <c r="J39" s="268"/>
      <c r="K39" s="174"/>
      <c r="L39" s="174"/>
      <c r="M39" s="315"/>
      <c r="N39" s="174"/>
      <c r="O39" s="174"/>
      <c r="P39" s="174">
        <f t="shared" si="4"/>
        <v>0</v>
      </c>
      <c r="Q39" s="241"/>
      <c r="R39" s="9">
        <f>J39*0.2</f>
        <v>0</v>
      </c>
      <c r="S39" s="9">
        <f>K39*0.2</f>
        <v>0</v>
      </c>
    </row>
    <row r="40" spans="1:19" ht="46.2" customHeight="1" x14ac:dyDescent="0.25">
      <c r="A40" s="445" t="s">
        <v>41</v>
      </c>
      <c r="B40" s="573" t="s">
        <v>136</v>
      </c>
      <c r="C40" s="98" t="s">
        <v>56</v>
      </c>
      <c r="D40" s="73" t="s">
        <v>74</v>
      </c>
      <c r="E40" s="73" t="s">
        <v>27</v>
      </c>
      <c r="F40" s="74" t="s">
        <v>77</v>
      </c>
      <c r="G40" s="110">
        <v>3</v>
      </c>
      <c r="H40" s="79" t="s">
        <v>250</v>
      </c>
      <c r="I40" s="73" t="s">
        <v>28</v>
      </c>
      <c r="J40" s="251">
        <f>200000+20000+58031.49</f>
        <v>278031.49</v>
      </c>
      <c r="K40" s="174">
        <v>0</v>
      </c>
      <c r="L40" s="172">
        <v>161002.39000000001</v>
      </c>
      <c r="M40" s="315"/>
      <c r="N40" s="174"/>
      <c r="O40" s="174"/>
      <c r="P40" s="136">
        <f t="shared" ref="P40:P50" si="5">SUM(J40:M40)</f>
        <v>439033.88</v>
      </c>
      <c r="Q40" s="270" t="s">
        <v>146</v>
      </c>
      <c r="R40" s="9" t="s">
        <v>100</v>
      </c>
    </row>
    <row r="41" spans="1:19" ht="49.2" customHeight="1" x14ac:dyDescent="0.25">
      <c r="A41" s="550"/>
      <c r="B41" s="574"/>
      <c r="C41" s="98" t="s">
        <v>56</v>
      </c>
      <c r="D41" s="73" t="s">
        <v>74</v>
      </c>
      <c r="E41" s="73" t="s">
        <v>75</v>
      </c>
      <c r="F41" s="74" t="s">
        <v>77</v>
      </c>
      <c r="G41" s="110">
        <v>3</v>
      </c>
      <c r="H41" s="79" t="s">
        <v>250</v>
      </c>
      <c r="I41" s="73" t="s">
        <v>80</v>
      </c>
      <c r="J41" s="251"/>
      <c r="K41" s="174">
        <v>300000</v>
      </c>
      <c r="L41" s="172">
        <v>0</v>
      </c>
      <c r="M41" s="314">
        <v>183110.42</v>
      </c>
      <c r="N41" s="174"/>
      <c r="O41" s="174"/>
      <c r="P41" s="136">
        <f>SUM(J41:M41)</f>
        <v>483110.42000000004</v>
      </c>
      <c r="Q41" s="271" t="s">
        <v>108</v>
      </c>
    </row>
    <row r="42" spans="1:19" ht="66.75" customHeight="1" x14ac:dyDescent="0.25">
      <c r="A42" s="446"/>
      <c r="B42" s="574"/>
      <c r="C42" s="98" t="s">
        <v>56</v>
      </c>
      <c r="D42" s="73" t="s">
        <v>74</v>
      </c>
      <c r="E42" s="73" t="s">
        <v>27</v>
      </c>
      <c r="F42" s="74" t="s">
        <v>77</v>
      </c>
      <c r="G42" s="110">
        <v>3</v>
      </c>
      <c r="H42" s="79" t="s">
        <v>250</v>
      </c>
      <c r="I42" s="73" t="s">
        <v>80</v>
      </c>
      <c r="J42" s="251">
        <f>700000+300000+163915.45+50000</f>
        <v>1213915.45</v>
      </c>
      <c r="K42" s="173">
        <f>329682.99+1000000+133252.22</f>
        <v>1462935.21</v>
      </c>
      <c r="L42" s="172">
        <v>178632.07</v>
      </c>
      <c r="M42" s="314">
        <v>182933.59</v>
      </c>
      <c r="N42" s="174"/>
      <c r="O42" s="174"/>
      <c r="P42" s="136">
        <f>SUM(J42:M42)</f>
        <v>3038416.32</v>
      </c>
      <c r="Q42" s="271" t="s">
        <v>108</v>
      </c>
      <c r="R42" s="29" t="s">
        <v>181</v>
      </c>
    </row>
    <row r="43" spans="1:19" s="27" customFormat="1" ht="66.75" customHeight="1" x14ac:dyDescent="0.25">
      <c r="A43" s="272"/>
      <c r="B43" s="574"/>
      <c r="C43" s="98" t="s">
        <v>56</v>
      </c>
      <c r="D43" s="73" t="s">
        <v>74</v>
      </c>
      <c r="E43" s="73" t="s">
        <v>27</v>
      </c>
      <c r="F43" s="74" t="s">
        <v>77</v>
      </c>
      <c r="G43" s="110">
        <v>3</v>
      </c>
      <c r="H43" s="79" t="s">
        <v>250</v>
      </c>
      <c r="I43" s="73" t="s">
        <v>174</v>
      </c>
      <c r="J43" s="273"/>
      <c r="K43" s="136">
        <f>57251.54</f>
        <v>57251.54</v>
      </c>
      <c r="L43" s="133"/>
      <c r="M43" s="315"/>
      <c r="N43" s="174"/>
      <c r="O43" s="174"/>
      <c r="P43" s="136">
        <f t="shared" ref="P43:P45" si="6">SUM(J43:M43)</f>
        <v>57251.54</v>
      </c>
      <c r="Q43" s="271" t="s">
        <v>108</v>
      </c>
      <c r="R43" s="37" t="s">
        <v>232</v>
      </c>
    </row>
    <row r="44" spans="1:19" s="27" customFormat="1" ht="66.75" customHeight="1" x14ac:dyDescent="0.25">
      <c r="A44" s="272"/>
      <c r="B44" s="574"/>
      <c r="C44" s="98" t="s">
        <v>56</v>
      </c>
      <c r="D44" s="73" t="s">
        <v>74</v>
      </c>
      <c r="E44" s="73" t="s">
        <v>27</v>
      </c>
      <c r="F44" s="74" t="s">
        <v>77</v>
      </c>
      <c r="G44" s="110">
        <v>3</v>
      </c>
      <c r="H44" s="79" t="s">
        <v>250</v>
      </c>
      <c r="I44" s="73" t="s">
        <v>28</v>
      </c>
      <c r="J44" s="273"/>
      <c r="K44" s="136">
        <f>100784.28+2467.26-42136.11-15115.43</f>
        <v>45999.999999999993</v>
      </c>
      <c r="L44" s="174"/>
      <c r="M44" s="315"/>
      <c r="N44" s="174"/>
      <c r="O44" s="174"/>
      <c r="P44" s="136">
        <f t="shared" si="6"/>
        <v>45999.999999999993</v>
      </c>
      <c r="Q44" s="271" t="s">
        <v>108</v>
      </c>
    </row>
    <row r="45" spans="1:19" s="56" customFormat="1" ht="66.75" customHeight="1" x14ac:dyDescent="0.25">
      <c r="A45" s="374"/>
      <c r="B45" s="575"/>
      <c r="C45" s="98" t="s">
        <v>56</v>
      </c>
      <c r="D45" s="76" t="s">
        <v>74</v>
      </c>
      <c r="E45" s="76" t="s">
        <v>27</v>
      </c>
      <c r="F45" s="77" t="s">
        <v>77</v>
      </c>
      <c r="G45" s="78">
        <v>3</v>
      </c>
      <c r="H45" s="111" t="s">
        <v>297</v>
      </c>
      <c r="I45" s="76" t="s">
        <v>80</v>
      </c>
      <c r="J45" s="273"/>
      <c r="K45" s="136"/>
      <c r="L45" s="174">
        <v>600000</v>
      </c>
      <c r="M45" s="315"/>
      <c r="N45" s="174"/>
      <c r="O45" s="174"/>
      <c r="P45" s="136">
        <f t="shared" si="6"/>
        <v>600000</v>
      </c>
      <c r="Q45" s="271" t="s">
        <v>108</v>
      </c>
    </row>
    <row r="46" spans="1:19" ht="78.75" customHeight="1" x14ac:dyDescent="0.25">
      <c r="A46" s="103" t="s">
        <v>64</v>
      </c>
      <c r="B46" s="125" t="s">
        <v>135</v>
      </c>
      <c r="C46" s="98" t="s">
        <v>56</v>
      </c>
      <c r="D46" s="73" t="s">
        <v>74</v>
      </c>
      <c r="E46" s="73" t="s">
        <v>27</v>
      </c>
      <c r="F46" s="74" t="s">
        <v>77</v>
      </c>
      <c r="G46" s="110">
        <v>3</v>
      </c>
      <c r="H46" s="79" t="s">
        <v>249</v>
      </c>
      <c r="I46" s="73" t="s">
        <v>28</v>
      </c>
      <c r="J46" s="268">
        <v>150000</v>
      </c>
      <c r="K46" s="174">
        <v>0</v>
      </c>
      <c r="L46" s="174">
        <v>0</v>
      </c>
      <c r="M46" s="315"/>
      <c r="N46" s="174"/>
      <c r="O46" s="174"/>
      <c r="P46" s="174">
        <f t="shared" si="5"/>
        <v>150000</v>
      </c>
      <c r="Q46" s="269" t="s">
        <v>110</v>
      </c>
      <c r="R46" s="9" t="s">
        <v>100</v>
      </c>
    </row>
    <row r="47" spans="1:19" ht="81.75" customHeight="1" x14ac:dyDescent="0.25">
      <c r="A47" s="103" t="s">
        <v>42</v>
      </c>
      <c r="B47" s="125" t="s">
        <v>118</v>
      </c>
      <c r="C47" s="98" t="s">
        <v>56</v>
      </c>
      <c r="D47" s="73" t="s">
        <v>74</v>
      </c>
      <c r="E47" s="73" t="s">
        <v>27</v>
      </c>
      <c r="F47" s="74" t="s">
        <v>77</v>
      </c>
      <c r="G47" s="110">
        <v>3</v>
      </c>
      <c r="H47" s="79" t="s">
        <v>271</v>
      </c>
      <c r="I47" s="73" t="s">
        <v>80</v>
      </c>
      <c r="J47" s="268">
        <v>90000</v>
      </c>
      <c r="K47" s="174">
        <v>0</v>
      </c>
      <c r="L47" s="174">
        <v>0</v>
      </c>
      <c r="M47" s="315"/>
      <c r="N47" s="174"/>
      <c r="O47" s="174"/>
      <c r="P47" s="174">
        <f t="shared" si="5"/>
        <v>90000</v>
      </c>
      <c r="Q47" s="241" t="s">
        <v>109</v>
      </c>
      <c r="R47" s="9" t="s">
        <v>0</v>
      </c>
    </row>
    <row r="48" spans="1:19" ht="132" customHeight="1" x14ac:dyDescent="0.25">
      <c r="A48" s="103" t="s">
        <v>69</v>
      </c>
      <c r="B48" s="125" t="s">
        <v>65</v>
      </c>
      <c r="C48" s="98" t="s">
        <v>56</v>
      </c>
      <c r="D48" s="103" t="s">
        <v>74</v>
      </c>
      <c r="E48" s="103" t="s">
        <v>27</v>
      </c>
      <c r="F48" s="162" t="s">
        <v>77</v>
      </c>
      <c r="G48" s="163">
        <v>3</v>
      </c>
      <c r="H48" s="79" t="s">
        <v>272</v>
      </c>
      <c r="I48" s="103" t="s">
        <v>80</v>
      </c>
      <c r="J48" s="268">
        <f>100000</f>
        <v>100000</v>
      </c>
      <c r="K48" s="174" t="s">
        <v>147</v>
      </c>
      <c r="L48" s="174" t="s">
        <v>147</v>
      </c>
      <c r="M48" s="315"/>
      <c r="N48" s="174"/>
      <c r="O48" s="174"/>
      <c r="P48" s="174">
        <f t="shared" si="5"/>
        <v>100000</v>
      </c>
      <c r="Q48" s="241" t="s">
        <v>91</v>
      </c>
    </row>
    <row r="49" spans="1:18" ht="133.5" customHeight="1" x14ac:dyDescent="0.25">
      <c r="A49" s="103" t="s">
        <v>70</v>
      </c>
      <c r="B49" s="117" t="s">
        <v>63</v>
      </c>
      <c r="C49" s="98"/>
      <c r="D49" s="103"/>
      <c r="E49" s="103"/>
      <c r="F49" s="162"/>
      <c r="G49" s="163"/>
      <c r="H49" s="79"/>
      <c r="I49" s="103"/>
      <c r="J49" s="268"/>
      <c r="K49" s="174"/>
      <c r="L49" s="174"/>
      <c r="M49" s="315"/>
      <c r="N49" s="174"/>
      <c r="O49" s="174"/>
      <c r="P49" s="174">
        <f t="shared" si="5"/>
        <v>0</v>
      </c>
      <c r="Q49" s="241" t="s">
        <v>95</v>
      </c>
    </row>
    <row r="50" spans="1:18" ht="221.25" customHeight="1" x14ac:dyDescent="0.25">
      <c r="A50" s="103" t="s">
        <v>149</v>
      </c>
      <c r="B50" s="125" t="s">
        <v>150</v>
      </c>
      <c r="C50" s="98" t="s">
        <v>56</v>
      </c>
      <c r="D50" s="103" t="s">
        <v>74</v>
      </c>
      <c r="E50" s="103" t="s">
        <v>27</v>
      </c>
      <c r="F50" s="162" t="s">
        <v>77</v>
      </c>
      <c r="G50" s="163">
        <v>3</v>
      </c>
      <c r="H50" s="79" t="s">
        <v>273</v>
      </c>
      <c r="I50" s="103" t="s">
        <v>28</v>
      </c>
      <c r="J50" s="268">
        <f>400000</f>
        <v>400000</v>
      </c>
      <c r="K50" s="174" t="s">
        <v>147</v>
      </c>
      <c r="L50" s="174" t="s">
        <v>147</v>
      </c>
      <c r="M50" s="315"/>
      <c r="N50" s="174"/>
      <c r="O50" s="174"/>
      <c r="P50" s="174">
        <f t="shared" si="5"/>
        <v>400000</v>
      </c>
      <c r="Q50" s="241" t="s">
        <v>91</v>
      </c>
    </row>
    <row r="51" spans="1:18" s="38" customFormat="1" ht="221.25" customHeight="1" x14ac:dyDescent="0.25">
      <c r="A51" s="103" t="s">
        <v>234</v>
      </c>
      <c r="B51" s="125" t="s">
        <v>237</v>
      </c>
      <c r="C51" s="98" t="s">
        <v>56</v>
      </c>
      <c r="D51" s="103" t="s">
        <v>74</v>
      </c>
      <c r="E51" s="103" t="s">
        <v>27</v>
      </c>
      <c r="F51" s="162" t="s">
        <v>77</v>
      </c>
      <c r="G51" s="163">
        <v>3</v>
      </c>
      <c r="H51" s="79" t="s">
        <v>274</v>
      </c>
      <c r="I51" s="103" t="s">
        <v>28</v>
      </c>
      <c r="J51" s="268"/>
      <c r="K51" s="173">
        <f>159831.56+231639.69</f>
        <v>391471.25</v>
      </c>
      <c r="L51" s="174"/>
      <c r="M51" s="315"/>
      <c r="N51" s="174"/>
      <c r="O51" s="174"/>
      <c r="P51" s="173">
        <f>K51+L51+M51</f>
        <v>391471.25</v>
      </c>
      <c r="Q51" s="241"/>
      <c r="R51" s="38" t="s">
        <v>238</v>
      </c>
    </row>
    <row r="52" spans="1:18" s="38" customFormat="1" ht="221.25" customHeight="1" x14ac:dyDescent="0.25">
      <c r="A52" s="103" t="s">
        <v>236</v>
      </c>
      <c r="B52" s="125" t="s">
        <v>237</v>
      </c>
      <c r="C52" s="98" t="s">
        <v>56</v>
      </c>
      <c r="D52" s="103" t="s">
        <v>74</v>
      </c>
      <c r="E52" s="103" t="s">
        <v>27</v>
      </c>
      <c r="F52" s="162" t="s">
        <v>77</v>
      </c>
      <c r="G52" s="163">
        <v>3</v>
      </c>
      <c r="H52" s="79" t="s">
        <v>274</v>
      </c>
      <c r="I52" s="103" t="s">
        <v>174</v>
      </c>
      <c r="J52" s="268"/>
      <c r="K52" s="174">
        <v>62503.7</v>
      </c>
      <c r="L52" s="174"/>
      <c r="M52" s="315"/>
      <c r="N52" s="174"/>
      <c r="O52" s="174"/>
      <c r="P52" s="174">
        <f>K52+L52+M52</f>
        <v>62503.7</v>
      </c>
      <c r="Q52" s="241"/>
      <c r="R52" s="38" t="s">
        <v>238</v>
      </c>
    </row>
    <row r="53" spans="1:18" s="38" customFormat="1" ht="221.25" customHeight="1" x14ac:dyDescent="0.25">
      <c r="A53" s="103" t="s">
        <v>235</v>
      </c>
      <c r="B53" s="125" t="s">
        <v>237</v>
      </c>
      <c r="C53" s="98" t="s">
        <v>56</v>
      </c>
      <c r="D53" s="103" t="s">
        <v>74</v>
      </c>
      <c r="E53" s="103" t="s">
        <v>27</v>
      </c>
      <c r="F53" s="162" t="s">
        <v>77</v>
      </c>
      <c r="G53" s="163">
        <v>3</v>
      </c>
      <c r="H53" s="79" t="s">
        <v>274</v>
      </c>
      <c r="I53" s="103" t="s">
        <v>80</v>
      </c>
      <c r="J53" s="268"/>
      <c r="K53" s="173">
        <f>43597.2+115370.63</f>
        <v>158967.83000000002</v>
      </c>
      <c r="L53" s="174"/>
      <c r="M53" s="315"/>
      <c r="N53" s="174"/>
      <c r="O53" s="174"/>
      <c r="P53" s="173">
        <f>K53+L53+M53</f>
        <v>158967.83000000002</v>
      </c>
      <c r="Q53" s="241"/>
      <c r="R53" s="38" t="s">
        <v>239</v>
      </c>
    </row>
    <row r="54" spans="1:18" s="56" customFormat="1" ht="221.25" customHeight="1" x14ac:dyDescent="0.25">
      <c r="A54" s="379" t="s">
        <v>300</v>
      </c>
      <c r="B54" s="386" t="s">
        <v>307</v>
      </c>
      <c r="C54" s="98" t="s">
        <v>56</v>
      </c>
      <c r="D54" s="379" t="s">
        <v>74</v>
      </c>
      <c r="E54" s="379" t="s">
        <v>27</v>
      </c>
      <c r="F54" s="162" t="s">
        <v>77</v>
      </c>
      <c r="G54" s="378">
        <v>3</v>
      </c>
      <c r="H54" s="79" t="s">
        <v>301</v>
      </c>
      <c r="I54" s="379" t="s">
        <v>28</v>
      </c>
      <c r="J54" s="268"/>
      <c r="K54" s="173"/>
      <c r="L54" s="174"/>
      <c r="M54" s="315">
        <v>2093070</v>
      </c>
      <c r="N54" s="174"/>
      <c r="O54" s="174"/>
      <c r="P54" s="173">
        <f>K54+L54+M54</f>
        <v>2093070</v>
      </c>
      <c r="Q54" s="241"/>
    </row>
    <row r="55" spans="1:18" ht="28.5" customHeight="1" x14ac:dyDescent="0.25">
      <c r="A55" s="243"/>
      <c r="B55" s="244" t="s">
        <v>23</v>
      </c>
      <c r="C55" s="245"/>
      <c r="D55" s="244"/>
      <c r="E55" s="244"/>
      <c r="F55" s="246"/>
      <c r="G55" s="247"/>
      <c r="H55" s="248"/>
      <c r="I55" s="244"/>
      <c r="J55" s="274">
        <f>SUM(J36:J50)</f>
        <v>2391946.94</v>
      </c>
      <c r="K55" s="274">
        <f>SUM(K36:K53)</f>
        <v>2916688.5300000003</v>
      </c>
      <c r="L55" s="274">
        <f t="shared" ref="L55:N55" si="7">SUM(L36:L53)</f>
        <v>939634.46</v>
      </c>
      <c r="M55" s="274">
        <f>SUM(M36:M54)</f>
        <v>2459114.0099999998</v>
      </c>
      <c r="N55" s="274">
        <f t="shared" si="7"/>
        <v>0</v>
      </c>
      <c r="O55" s="274"/>
      <c r="P55" s="274">
        <f>J55+K55+L55+M55</f>
        <v>8707383.9400000013</v>
      </c>
      <c r="Q55" s="245"/>
      <c r="R55" s="8"/>
    </row>
    <row r="56" spans="1:18" ht="24" customHeight="1" x14ac:dyDescent="0.25">
      <c r="A56" s="275" t="s">
        <v>67</v>
      </c>
      <c r="B56" s="570" t="s">
        <v>229</v>
      </c>
      <c r="C56" s="571"/>
      <c r="D56" s="571"/>
      <c r="E56" s="571"/>
      <c r="F56" s="571"/>
      <c r="G56" s="571"/>
      <c r="H56" s="571"/>
      <c r="I56" s="571"/>
      <c r="J56" s="571"/>
      <c r="K56" s="571"/>
      <c r="L56" s="571"/>
      <c r="M56" s="571"/>
      <c r="N56" s="571"/>
      <c r="O56" s="571"/>
      <c r="P56" s="572"/>
      <c r="Q56" s="276"/>
    </row>
    <row r="57" spans="1:18" ht="15.75" customHeight="1" x14ac:dyDescent="0.3">
      <c r="A57" s="277" t="s">
        <v>43</v>
      </c>
      <c r="B57" s="443" t="s">
        <v>66</v>
      </c>
      <c r="C57" s="106" t="s">
        <v>56</v>
      </c>
      <c r="D57" s="103" t="s">
        <v>74</v>
      </c>
      <c r="E57" s="103" t="s">
        <v>26</v>
      </c>
      <c r="F57" s="162" t="s">
        <v>77</v>
      </c>
      <c r="G57" s="163">
        <v>3</v>
      </c>
      <c r="H57" s="79" t="s">
        <v>248</v>
      </c>
      <c r="I57" s="103" t="s">
        <v>45</v>
      </c>
      <c r="J57" s="181">
        <v>630921.29</v>
      </c>
      <c r="K57" s="182">
        <f>852246.07-7240.07+6632.78</f>
        <v>851638.78</v>
      </c>
      <c r="L57" s="178">
        <v>881415.33</v>
      </c>
      <c r="M57" s="296">
        <v>893356.96</v>
      </c>
      <c r="N57" s="182">
        <f>M57</f>
        <v>893356.96</v>
      </c>
      <c r="O57" s="182">
        <f>N57</f>
        <v>893356.96</v>
      </c>
      <c r="P57" s="182">
        <f t="shared" ref="P57:P63" si="8">SUM(J57:O57)</f>
        <v>5044046.2799999993</v>
      </c>
      <c r="Q57" s="544"/>
      <c r="R57" s="16" t="s">
        <v>180</v>
      </c>
    </row>
    <row r="58" spans="1:18" s="48" customFormat="1" ht="15.75" customHeight="1" x14ac:dyDescent="0.3">
      <c r="A58" s="277" t="s">
        <v>43</v>
      </c>
      <c r="B58" s="569"/>
      <c r="C58" s="106" t="s">
        <v>56</v>
      </c>
      <c r="D58" s="103" t="s">
        <v>74</v>
      </c>
      <c r="E58" s="103" t="s">
        <v>26</v>
      </c>
      <c r="F58" s="162" t="s">
        <v>77</v>
      </c>
      <c r="G58" s="163">
        <v>3</v>
      </c>
      <c r="H58" s="180" t="s">
        <v>279</v>
      </c>
      <c r="I58" s="103" t="s">
        <v>45</v>
      </c>
      <c r="J58" s="181">
        <v>192955</v>
      </c>
      <c r="K58" s="182">
        <f>255580.8+23928.07</f>
        <v>279508.87</v>
      </c>
      <c r="L58" s="186">
        <v>269610.46000000002</v>
      </c>
      <c r="M58" s="186">
        <v>258552.31</v>
      </c>
      <c r="N58" s="182">
        <f t="shared" ref="N58:O65" si="9">M58</f>
        <v>258552.31</v>
      </c>
      <c r="O58" s="182">
        <f t="shared" si="9"/>
        <v>258552.31</v>
      </c>
      <c r="P58" s="182">
        <f t="shared" si="8"/>
        <v>1517731.2600000002</v>
      </c>
      <c r="Q58" s="545"/>
      <c r="R58" s="16" t="s">
        <v>180</v>
      </c>
    </row>
    <row r="59" spans="1:18" s="43" customFormat="1" ht="15.75" customHeight="1" x14ac:dyDescent="0.3">
      <c r="A59" s="278"/>
      <c r="B59" s="569"/>
      <c r="C59" s="106" t="s">
        <v>56</v>
      </c>
      <c r="D59" s="103" t="s">
        <v>74</v>
      </c>
      <c r="E59" s="79" t="s">
        <v>26</v>
      </c>
      <c r="F59" s="183" t="s">
        <v>77</v>
      </c>
      <c r="G59" s="163">
        <v>3</v>
      </c>
      <c r="H59" s="180" t="s">
        <v>248</v>
      </c>
      <c r="I59" s="103" t="s">
        <v>276</v>
      </c>
      <c r="J59" s="181">
        <v>190538.23</v>
      </c>
      <c r="K59" s="182">
        <f>257378.31-2186.51+1972.91</f>
        <v>257164.71</v>
      </c>
      <c r="L59" s="178">
        <v>264351.81</v>
      </c>
      <c r="M59" s="186">
        <v>269793.8</v>
      </c>
      <c r="N59" s="182">
        <f t="shared" si="9"/>
        <v>269793.8</v>
      </c>
      <c r="O59" s="182">
        <f t="shared" si="9"/>
        <v>269793.8</v>
      </c>
      <c r="P59" s="182">
        <f t="shared" si="8"/>
        <v>1521436.1500000001</v>
      </c>
      <c r="Q59" s="545"/>
      <c r="R59" s="16"/>
    </row>
    <row r="60" spans="1:18" s="48" customFormat="1" ht="15.75" customHeight="1" x14ac:dyDescent="0.3">
      <c r="A60" s="278"/>
      <c r="B60" s="569"/>
      <c r="C60" s="106" t="s">
        <v>56</v>
      </c>
      <c r="D60" s="103" t="s">
        <v>74</v>
      </c>
      <c r="E60" s="79" t="s">
        <v>26</v>
      </c>
      <c r="F60" s="183" t="s">
        <v>77</v>
      </c>
      <c r="G60" s="163">
        <v>3</v>
      </c>
      <c r="H60" s="180" t="s">
        <v>279</v>
      </c>
      <c r="I60" s="103" t="s">
        <v>276</v>
      </c>
      <c r="J60" s="181">
        <v>58272.41</v>
      </c>
      <c r="K60" s="182">
        <f>77185.4+7226.29</f>
        <v>84411.689999999988</v>
      </c>
      <c r="L60" s="186">
        <v>80347.22</v>
      </c>
      <c r="M60" s="186">
        <v>78082.8</v>
      </c>
      <c r="N60" s="182">
        <f t="shared" si="9"/>
        <v>78082.8</v>
      </c>
      <c r="O60" s="182">
        <f t="shared" si="9"/>
        <v>78082.8</v>
      </c>
      <c r="P60" s="182">
        <f t="shared" si="8"/>
        <v>457279.72</v>
      </c>
      <c r="Q60" s="545"/>
      <c r="R60" s="16"/>
    </row>
    <row r="61" spans="1:18" x14ac:dyDescent="0.3">
      <c r="A61" s="278"/>
      <c r="B61" s="569"/>
      <c r="C61" s="106" t="s">
        <v>56</v>
      </c>
      <c r="D61" s="99" t="s">
        <v>74</v>
      </c>
      <c r="E61" s="100" t="s">
        <v>26</v>
      </c>
      <c r="F61" s="101" t="s">
        <v>77</v>
      </c>
      <c r="G61" s="102">
        <v>3</v>
      </c>
      <c r="H61" s="79" t="s">
        <v>248</v>
      </c>
      <c r="I61" s="103" t="s">
        <v>126</v>
      </c>
      <c r="J61" s="181">
        <f>7200-3200</f>
        <v>4000</v>
      </c>
      <c r="K61" s="182">
        <v>2484.59</v>
      </c>
      <c r="L61" s="178">
        <f>780+23583+574.6</f>
        <v>24937.599999999999</v>
      </c>
      <c r="M61" s="186">
        <f>780</f>
        <v>780</v>
      </c>
      <c r="N61" s="182">
        <f t="shared" si="9"/>
        <v>780</v>
      </c>
      <c r="O61" s="182">
        <f t="shared" si="9"/>
        <v>780</v>
      </c>
      <c r="P61" s="182">
        <f t="shared" si="8"/>
        <v>33762.19</v>
      </c>
      <c r="Q61" s="545"/>
      <c r="R61" s="16"/>
    </row>
    <row r="62" spans="1:18" x14ac:dyDescent="0.3">
      <c r="A62" s="278"/>
      <c r="B62" s="569"/>
      <c r="C62" s="106" t="s">
        <v>56</v>
      </c>
      <c r="D62" s="99" t="s">
        <v>74</v>
      </c>
      <c r="E62" s="100" t="s">
        <v>26</v>
      </c>
      <c r="F62" s="101" t="s">
        <v>77</v>
      </c>
      <c r="G62" s="102">
        <v>3</v>
      </c>
      <c r="H62" s="79" t="s">
        <v>248</v>
      </c>
      <c r="I62" s="100" t="s">
        <v>28</v>
      </c>
      <c r="J62" s="181">
        <f>290346.4+3200-58031.49</f>
        <v>235514.91000000003</v>
      </c>
      <c r="K62" s="182">
        <f>323459.03+27100-878.56-2484.59-1000+20000-11779.44</f>
        <v>354416.44</v>
      </c>
      <c r="L62" s="178">
        <f>347279.03-23583-574.6-20000</f>
        <v>303121.43000000005</v>
      </c>
      <c r="M62" s="186">
        <v>336539.03</v>
      </c>
      <c r="N62" s="182">
        <f t="shared" si="9"/>
        <v>336539.03</v>
      </c>
      <c r="O62" s="182">
        <f t="shared" si="9"/>
        <v>336539.03</v>
      </c>
      <c r="P62" s="182">
        <f t="shared" si="8"/>
        <v>1902669.87</v>
      </c>
      <c r="Q62" s="546"/>
      <c r="R62" s="16"/>
    </row>
    <row r="63" spans="1:18" outlineLevel="1" x14ac:dyDescent="0.3">
      <c r="A63" s="278"/>
      <c r="B63" s="569"/>
      <c r="C63" s="106" t="s">
        <v>56</v>
      </c>
      <c r="D63" s="99" t="s">
        <v>74</v>
      </c>
      <c r="E63" s="100" t="s">
        <v>26</v>
      </c>
      <c r="F63" s="101" t="s">
        <v>77</v>
      </c>
      <c r="G63" s="102">
        <v>3</v>
      </c>
      <c r="H63" s="79" t="s">
        <v>248</v>
      </c>
      <c r="I63" s="100" t="s">
        <v>127</v>
      </c>
      <c r="J63" s="181">
        <v>4500</v>
      </c>
      <c r="K63" s="182">
        <f>878.56+1000</f>
        <v>1878.56</v>
      </c>
      <c r="L63" s="178">
        <v>1000</v>
      </c>
      <c r="M63" s="186"/>
      <c r="N63" s="182"/>
      <c r="O63" s="182"/>
      <c r="P63" s="182">
        <f t="shared" si="8"/>
        <v>7378.5599999999995</v>
      </c>
      <c r="Q63" s="127"/>
      <c r="R63" s="16" t="s">
        <v>233</v>
      </c>
    </row>
    <row r="64" spans="1:18" s="56" customFormat="1" outlineLevel="1" x14ac:dyDescent="0.3">
      <c r="A64" s="278"/>
      <c r="B64" s="569"/>
      <c r="C64" s="392" t="s">
        <v>56</v>
      </c>
      <c r="D64" s="99" t="s">
        <v>74</v>
      </c>
      <c r="E64" s="100" t="s">
        <v>26</v>
      </c>
      <c r="F64" s="101" t="s">
        <v>77</v>
      </c>
      <c r="G64" s="102">
        <v>3</v>
      </c>
      <c r="H64" s="79" t="s">
        <v>248</v>
      </c>
      <c r="I64" s="100" t="s">
        <v>312</v>
      </c>
      <c r="J64" s="181"/>
      <c r="K64" s="182"/>
      <c r="L64" s="178"/>
      <c r="M64" s="186">
        <v>878.56</v>
      </c>
      <c r="N64" s="182">
        <f t="shared" ref="N64" si="10">M64</f>
        <v>878.56</v>
      </c>
      <c r="O64" s="182">
        <f t="shared" ref="O64" si="11">N64</f>
        <v>878.56</v>
      </c>
      <c r="P64" s="182">
        <f>SUM(J64:O64)</f>
        <v>2635.68</v>
      </c>
      <c r="Q64" s="393"/>
      <c r="R64" s="16"/>
    </row>
    <row r="65" spans="1:18" outlineLevel="1" x14ac:dyDescent="0.3">
      <c r="A65" s="279"/>
      <c r="B65" s="569"/>
      <c r="C65" s="106" t="s">
        <v>56</v>
      </c>
      <c r="D65" s="99" t="s">
        <v>74</v>
      </c>
      <c r="E65" s="100" t="s">
        <v>26</v>
      </c>
      <c r="F65" s="101" t="s">
        <v>77</v>
      </c>
      <c r="G65" s="102">
        <v>3</v>
      </c>
      <c r="H65" s="100" t="s">
        <v>274</v>
      </c>
      <c r="I65" s="103" t="s">
        <v>126</v>
      </c>
      <c r="J65" s="182"/>
      <c r="K65" s="182">
        <f>8000+2416</f>
        <v>10416</v>
      </c>
      <c r="L65" s="182"/>
      <c r="M65" s="186"/>
      <c r="N65" s="182">
        <f t="shared" si="9"/>
        <v>0</v>
      </c>
      <c r="O65" s="182">
        <f t="shared" si="9"/>
        <v>0</v>
      </c>
      <c r="P65" s="182">
        <f t="shared" ref="P65:P67" si="12">SUM(J65:N65)</f>
        <v>10416</v>
      </c>
      <c r="Q65" s="127"/>
      <c r="R65" s="16"/>
    </row>
    <row r="66" spans="1:18" s="56" customFormat="1" outlineLevel="1" x14ac:dyDescent="0.3">
      <c r="A66" s="279"/>
      <c r="B66" s="569"/>
      <c r="C66" s="375" t="s">
        <v>56</v>
      </c>
      <c r="D66" s="99" t="s">
        <v>74</v>
      </c>
      <c r="E66" s="100" t="s">
        <v>26</v>
      </c>
      <c r="F66" s="101" t="s">
        <v>77</v>
      </c>
      <c r="G66" s="102">
        <v>3</v>
      </c>
      <c r="H66" s="83" t="s">
        <v>297</v>
      </c>
      <c r="I66" s="76" t="s">
        <v>126</v>
      </c>
      <c r="J66" s="182"/>
      <c r="K66" s="182"/>
      <c r="L66" s="182">
        <v>7500</v>
      </c>
      <c r="M66" s="186"/>
      <c r="N66" s="182"/>
      <c r="O66" s="182"/>
      <c r="P66" s="182">
        <f t="shared" si="12"/>
        <v>7500</v>
      </c>
      <c r="Q66" s="376"/>
      <c r="R66" s="16"/>
    </row>
    <row r="67" spans="1:18" s="56" customFormat="1" outlineLevel="1" x14ac:dyDescent="0.3">
      <c r="A67" s="279"/>
      <c r="B67" s="444"/>
      <c r="C67" s="375" t="s">
        <v>56</v>
      </c>
      <c r="D67" s="99" t="s">
        <v>74</v>
      </c>
      <c r="E67" s="100" t="s">
        <v>26</v>
      </c>
      <c r="F67" s="101" t="s">
        <v>77</v>
      </c>
      <c r="G67" s="102">
        <v>3</v>
      </c>
      <c r="H67" s="83" t="s">
        <v>297</v>
      </c>
      <c r="I67" s="76" t="s">
        <v>276</v>
      </c>
      <c r="J67" s="182"/>
      <c r="K67" s="182"/>
      <c r="L67" s="182">
        <v>2265</v>
      </c>
      <c r="M67" s="186"/>
      <c r="N67" s="182"/>
      <c r="O67" s="182"/>
      <c r="P67" s="182">
        <f t="shared" si="12"/>
        <v>2265</v>
      </c>
      <c r="Q67" s="376"/>
      <c r="R67" s="16"/>
    </row>
    <row r="68" spans="1:18" ht="31.5" customHeight="1" x14ac:dyDescent="0.25">
      <c r="A68" s="243"/>
      <c r="B68" s="244" t="s">
        <v>44</v>
      </c>
      <c r="C68" s="245"/>
      <c r="D68" s="244"/>
      <c r="E68" s="244"/>
      <c r="F68" s="246"/>
      <c r="G68" s="247"/>
      <c r="H68" s="248"/>
      <c r="I68" s="244"/>
      <c r="J68" s="280">
        <f>SUM(J57:J65)</f>
        <v>1316701.8399999999</v>
      </c>
      <c r="K68" s="280">
        <f>SUM(K57:K65)</f>
        <v>1841919.64</v>
      </c>
      <c r="L68" s="280">
        <f>SUM(L57:L67)</f>
        <v>1834548.85</v>
      </c>
      <c r="M68" s="280">
        <f>SUM(M57:M65)</f>
        <v>1837983.4600000002</v>
      </c>
      <c r="N68" s="280">
        <f>SUM(N57:N65)</f>
        <v>1837983.4600000002</v>
      </c>
      <c r="O68" s="280">
        <f>SUM(O57:O65)</f>
        <v>1837983.4600000002</v>
      </c>
      <c r="P68" s="280">
        <f>SUM(J68:O68)</f>
        <v>10507120.710000001</v>
      </c>
      <c r="Q68" s="245"/>
      <c r="R68" s="8"/>
    </row>
    <row r="69" spans="1:18" ht="33" customHeight="1" x14ac:dyDescent="0.25">
      <c r="A69" s="224"/>
      <c r="B69" s="225" t="s">
        <v>24</v>
      </c>
      <c r="C69" s="225"/>
      <c r="D69" s="225"/>
      <c r="E69" s="225"/>
      <c r="F69" s="226"/>
      <c r="G69" s="227"/>
      <c r="H69" s="228"/>
      <c r="I69" s="225"/>
      <c r="J69" s="281">
        <f t="shared" ref="J69:P69" si="13">J22+J25+J34+J55+J68</f>
        <v>13644150.699999999</v>
      </c>
      <c r="K69" s="282">
        <f t="shared" si="13"/>
        <v>15354612.059999999</v>
      </c>
      <c r="L69" s="282">
        <f t="shared" si="13"/>
        <v>13714969.579999996</v>
      </c>
      <c r="M69" s="282">
        <f t="shared" si="13"/>
        <v>14915805.640000001</v>
      </c>
      <c r="N69" s="282">
        <f t="shared" si="13"/>
        <v>12456691.630000001</v>
      </c>
      <c r="O69" s="282">
        <f t="shared" si="13"/>
        <v>12456691.630000001</v>
      </c>
      <c r="P69" s="282">
        <f t="shared" si="13"/>
        <v>82542921.24000001</v>
      </c>
      <c r="Q69" s="225"/>
      <c r="R69" s="8"/>
    </row>
    <row r="70" spans="1:18" x14ac:dyDescent="0.25">
      <c r="A70" s="103"/>
      <c r="B70" s="125" t="s">
        <v>25</v>
      </c>
      <c r="C70" s="125"/>
      <c r="D70" s="125"/>
      <c r="E70" s="125"/>
      <c r="F70" s="162"/>
      <c r="G70" s="163"/>
      <c r="H70" s="230"/>
      <c r="I70" s="125"/>
      <c r="J70" s="283"/>
      <c r="K70" s="182"/>
      <c r="L70" s="182"/>
      <c r="M70" s="186"/>
      <c r="N70" s="182"/>
      <c r="O70" s="182"/>
      <c r="P70" s="182"/>
      <c r="Q70" s="125"/>
    </row>
    <row r="71" spans="1:18" s="54" customFormat="1" x14ac:dyDescent="0.25">
      <c r="A71" s="103"/>
      <c r="B71" s="125" t="s">
        <v>168</v>
      </c>
      <c r="C71" s="125"/>
      <c r="D71" s="125"/>
      <c r="E71" s="125"/>
      <c r="F71" s="162"/>
      <c r="G71" s="163"/>
      <c r="H71" s="230"/>
      <c r="I71" s="125"/>
      <c r="J71" s="283"/>
      <c r="K71" s="182"/>
      <c r="L71" s="182">
        <f>L20</f>
        <v>35360</v>
      </c>
      <c r="M71" s="186"/>
      <c r="N71" s="182"/>
      <c r="O71" s="182"/>
      <c r="P71" s="182">
        <f>SUM(J71:M71)</f>
        <v>35360</v>
      </c>
      <c r="Q71" s="125"/>
    </row>
    <row r="72" spans="1:18" ht="21.75" customHeight="1" x14ac:dyDescent="0.25">
      <c r="A72" s="103"/>
      <c r="B72" s="126" t="s">
        <v>169</v>
      </c>
      <c r="C72" s="125"/>
      <c r="D72" s="125"/>
      <c r="E72" s="125"/>
      <c r="F72" s="162"/>
      <c r="G72" s="163"/>
      <c r="H72" s="230"/>
      <c r="I72" s="125"/>
      <c r="J72" s="283">
        <f>425269.2+65974.35+400000+76955.72</f>
        <v>968199.27</v>
      </c>
      <c r="K72" s="182">
        <f>K11+K13+K14+K18+K51+K52+K53+K65</f>
        <v>1262658.05</v>
      </c>
      <c r="L72" s="182">
        <f>L11+L13+L14+L45+L66+L67</f>
        <v>877730.3</v>
      </c>
      <c r="M72" s="186"/>
      <c r="N72" s="182"/>
      <c r="O72" s="182"/>
      <c r="P72" s="182">
        <f>SUM(J72:M72)</f>
        <v>3108587.62</v>
      </c>
      <c r="Q72" s="125"/>
    </row>
    <row r="73" spans="1:18" ht="30" customHeight="1" x14ac:dyDescent="0.25">
      <c r="A73" s="103"/>
      <c r="B73" s="125" t="s">
        <v>170</v>
      </c>
      <c r="C73" s="125"/>
      <c r="D73" s="125"/>
      <c r="E73" s="125"/>
      <c r="F73" s="162"/>
      <c r="G73" s="163"/>
      <c r="H73" s="230"/>
      <c r="I73" s="125"/>
      <c r="J73" s="283">
        <f>J69-J72</f>
        <v>12675951.43</v>
      </c>
      <c r="K73" s="283">
        <f>K69-K72</f>
        <v>14091954.009999998</v>
      </c>
      <c r="L73" s="182">
        <f>L69-L72-L71</f>
        <v>12801879.279999996</v>
      </c>
      <c r="M73" s="186">
        <f>M69</f>
        <v>14915805.640000001</v>
      </c>
      <c r="N73" s="182">
        <f>N69</f>
        <v>12456691.630000001</v>
      </c>
      <c r="O73" s="182">
        <f>O69</f>
        <v>12456691.630000001</v>
      </c>
      <c r="P73" s="182">
        <f>SUM(J73:O73)</f>
        <v>79398973.61999999</v>
      </c>
      <c r="Q73" s="125"/>
      <c r="R73" s="8"/>
    </row>
    <row r="74" spans="1:18" s="11" customFormat="1" ht="35.25" customHeight="1" x14ac:dyDescent="0.25">
      <c r="A74" s="17"/>
      <c r="M74" s="297"/>
    </row>
    <row r="75" spans="1:18" s="11" customFormat="1" ht="35.25" customHeight="1" x14ac:dyDescent="0.25">
      <c r="A75" s="515"/>
      <c r="B75" s="515"/>
      <c r="C75" s="515"/>
      <c r="D75" s="515"/>
      <c r="E75" s="515"/>
      <c r="F75" s="515"/>
      <c r="G75" s="515"/>
      <c r="H75" s="515"/>
      <c r="I75" s="515"/>
      <c r="J75" s="10"/>
      <c r="K75" s="10"/>
      <c r="L75" s="10"/>
      <c r="M75" s="292"/>
      <c r="N75" s="10"/>
      <c r="O75" s="10"/>
      <c r="P75" s="10"/>
    </row>
    <row r="76" spans="1:18" s="11" customFormat="1" ht="35.25" customHeight="1" x14ac:dyDescent="0.25">
      <c r="A76" s="17"/>
      <c r="M76" s="297"/>
    </row>
    <row r="77" spans="1:18" s="11" customFormat="1" ht="35.25" customHeight="1" x14ac:dyDescent="0.25">
      <c r="A77" s="17"/>
      <c r="J77" s="10"/>
      <c r="M77" s="297"/>
    </row>
    <row r="78" spans="1:18" x14ac:dyDescent="0.25">
      <c r="J78" s="8"/>
      <c r="R78" s="8"/>
    </row>
  </sheetData>
  <mergeCells count="38">
    <mergeCell ref="A75:I75"/>
    <mergeCell ref="B7:P7"/>
    <mergeCell ref="B8:P8"/>
    <mergeCell ref="B23:P23"/>
    <mergeCell ref="B36:B37"/>
    <mergeCell ref="B26:P26"/>
    <mergeCell ref="B35:P35"/>
    <mergeCell ref="B27:B28"/>
    <mergeCell ref="A40:A42"/>
    <mergeCell ref="B31:B32"/>
    <mergeCell ref="A31:A32"/>
    <mergeCell ref="A36:A37"/>
    <mergeCell ref="A9:A13"/>
    <mergeCell ref="A27:A28"/>
    <mergeCell ref="A29:A30"/>
    <mergeCell ref="Q57:Q62"/>
    <mergeCell ref="Q27:Q28"/>
    <mergeCell ref="B29:B30"/>
    <mergeCell ref="Q29:Q30"/>
    <mergeCell ref="C36:C37"/>
    <mergeCell ref="Q36:Q37"/>
    <mergeCell ref="B56:P56"/>
    <mergeCell ref="B40:B45"/>
    <mergeCell ref="B57:B67"/>
    <mergeCell ref="T18:U18"/>
    <mergeCell ref="T19:U19"/>
    <mergeCell ref="M1:Q1"/>
    <mergeCell ref="T16:U16"/>
    <mergeCell ref="Q9:Q12"/>
    <mergeCell ref="M2:Q2"/>
    <mergeCell ref="A3:Q3"/>
    <mergeCell ref="A5:A6"/>
    <mergeCell ref="B5:B6"/>
    <mergeCell ref="C5:C6"/>
    <mergeCell ref="D5:I5"/>
    <mergeCell ref="J5:P5"/>
    <mergeCell ref="Q5:Q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50" fitToWidth="4" fitToHeight="17" orientation="landscape" r:id="rId1"/>
  <headerFooter alignWithMargins="0"/>
  <rowBreaks count="3" manualBreakCount="3">
    <brk id="13" max="14" man="1"/>
    <brk id="30" max="14" man="1"/>
    <brk id="45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0" sqref="F3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Приложение 2</vt:lpstr>
      <vt:lpstr>Приложение 1</vt:lpstr>
      <vt:lpstr>формулы</vt:lpstr>
      <vt:lpstr>Приложение 3</vt:lpstr>
      <vt:lpstr>формулы2</vt:lpstr>
      <vt:lpstr>Лист1</vt:lpstr>
      <vt:lpstr>'Приложение 1'!Заголовки_для_печати</vt:lpstr>
      <vt:lpstr>'Приложение 2'!Заголовки_для_печати</vt:lpstr>
      <vt:lpstr>формулы!Заголовки_для_печати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формулы!Область_печати</vt:lpstr>
      <vt:lpstr>формулы2!Область_печати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RabekinaNN</cp:lastModifiedBy>
  <cp:lastPrinted>2017-05-11T03:06:32Z</cp:lastPrinted>
  <dcterms:created xsi:type="dcterms:W3CDTF">2013-07-29T03:10:57Z</dcterms:created>
  <dcterms:modified xsi:type="dcterms:W3CDTF">2017-06-01T06:59:56Z</dcterms:modified>
</cp:coreProperties>
</file>